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paulnelson/Documents/1. Cascadia Poetics LAB/Cascadia Pets House/"/>
    </mc:Choice>
  </mc:AlternateContent>
  <xr:revisionPtr revIDLastSave="0" documentId="8_{4C4BD877-7E8A-6C4B-8BFE-51FABFCB0427}" xr6:coauthVersionLast="47" xr6:coauthVersionMax="47" xr10:uidLastSave="{00000000-0000-0000-0000-000000000000}"/>
  <bookViews>
    <workbookView xWindow="0" yWindow="680" windowWidth="23260" windowHeight="12460" tabRatio="500" firstSheet="1" activeTab="1" xr2:uid="{00000000-000D-0000-FFFF-FFFF00000000}"/>
  </bookViews>
  <sheets>
    <sheet name="Executive Summary" sheetId="1" r:id="rId1"/>
    <sheet name="Summary" sheetId="2" r:id="rId2"/>
    <sheet name="Development Budget" sheetId="3" r:id="rId3"/>
    <sheet name="Sources &amp; Uses" sheetId="4" r:id="rId4"/>
    <sheet name="Operating Pro Forma" sheetId="5" r:id="rId5"/>
    <sheet name="LIHTC Calculations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6" l="1"/>
  <c r="B17" i="6"/>
  <c r="B16" i="6"/>
  <c r="B11" i="6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C28" i="5"/>
  <c r="D28" i="5" s="1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C27" i="5"/>
  <c r="D27" i="5" s="1"/>
  <c r="E27" i="5" s="1"/>
  <c r="F27" i="5" s="1"/>
  <c r="G27" i="5" s="1"/>
  <c r="H27" i="5" s="1"/>
  <c r="I27" i="5" s="1"/>
  <c r="J27" i="5" s="1"/>
  <c r="K27" i="5" s="1"/>
  <c r="L27" i="5" s="1"/>
  <c r="M27" i="5" s="1"/>
  <c r="N27" i="5" s="1"/>
  <c r="O27" i="5" s="1"/>
  <c r="P27" i="5" s="1"/>
  <c r="C26" i="5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C25" i="5"/>
  <c r="D25" i="5" s="1"/>
  <c r="E25" i="5" s="1"/>
  <c r="F25" i="5" s="1"/>
  <c r="G25" i="5" s="1"/>
  <c r="H25" i="5" s="1"/>
  <c r="I25" i="5" s="1"/>
  <c r="J25" i="5" s="1"/>
  <c r="K25" i="5" s="1"/>
  <c r="L25" i="5" s="1"/>
  <c r="M25" i="5" s="1"/>
  <c r="N25" i="5" s="1"/>
  <c r="O25" i="5" s="1"/>
  <c r="P25" i="5" s="1"/>
  <c r="C24" i="5"/>
  <c r="D24" i="5" s="1"/>
  <c r="E24" i="5" s="1"/>
  <c r="F24" i="5" s="1"/>
  <c r="G24" i="5" s="1"/>
  <c r="H24" i="5" s="1"/>
  <c r="I24" i="5" s="1"/>
  <c r="J24" i="5" s="1"/>
  <c r="K24" i="5" s="1"/>
  <c r="L24" i="5" s="1"/>
  <c r="M24" i="5" s="1"/>
  <c r="N24" i="5" s="1"/>
  <c r="O24" i="5" s="1"/>
  <c r="P24" i="5" s="1"/>
  <c r="C23" i="5"/>
  <c r="D23" i="5" s="1"/>
  <c r="E23" i="5" s="1"/>
  <c r="F23" i="5" s="1"/>
  <c r="G23" i="5" s="1"/>
  <c r="H23" i="5" s="1"/>
  <c r="I23" i="5" s="1"/>
  <c r="J23" i="5" s="1"/>
  <c r="K23" i="5" s="1"/>
  <c r="L23" i="5" s="1"/>
  <c r="M23" i="5" s="1"/>
  <c r="N23" i="5" s="1"/>
  <c r="O23" i="5" s="1"/>
  <c r="P23" i="5" s="1"/>
  <c r="C16" i="5"/>
  <c r="D16" i="5" s="1"/>
  <c r="E16" i="5" s="1"/>
  <c r="F16" i="5" s="1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B13" i="5"/>
  <c r="C13" i="5" s="1"/>
  <c r="D13" i="5" s="1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B12" i="5"/>
  <c r="B14" i="5" s="1"/>
  <c r="B54" i="1" s="1"/>
  <c r="B8" i="5"/>
  <c r="C8" i="5" s="1"/>
  <c r="D8" i="5" s="1"/>
  <c r="E8" i="5" s="1"/>
  <c r="F8" i="5" s="1"/>
  <c r="G8" i="5" s="1"/>
  <c r="H8" i="5" s="1"/>
  <c r="I8" i="5" s="1"/>
  <c r="J8" i="5" s="1"/>
  <c r="K8" i="5" s="1"/>
  <c r="L8" i="5" s="1"/>
  <c r="M8" i="5" s="1"/>
  <c r="N8" i="5" s="1"/>
  <c r="O8" i="5" s="1"/>
  <c r="P8" i="5" s="1"/>
  <c r="B7" i="5"/>
  <c r="B16" i="4"/>
  <c r="B9" i="4"/>
  <c r="B8" i="4"/>
  <c r="B11" i="3"/>
  <c r="B6" i="3"/>
  <c r="B19" i="2"/>
  <c r="B10" i="3" s="1"/>
  <c r="B12" i="3" s="1"/>
  <c r="B5" i="4" s="1"/>
  <c r="B14" i="2"/>
  <c r="B55" i="1"/>
  <c r="B48" i="1"/>
  <c r="B39" i="1"/>
  <c r="B22" i="2" l="1"/>
  <c r="B5" i="3"/>
  <c r="B7" i="3" s="1"/>
  <c r="B24" i="1"/>
  <c r="B9" i="5"/>
  <c r="C7" i="5"/>
  <c r="C12" i="5"/>
  <c r="C14" i="5" l="1"/>
  <c r="D12" i="5"/>
  <c r="C9" i="5"/>
  <c r="C17" i="5" s="1"/>
  <c r="D7" i="5"/>
  <c r="B53" i="1"/>
  <c r="B17" i="5"/>
  <c r="B21" i="1"/>
  <c r="B4" i="4"/>
  <c r="B14" i="3"/>
  <c r="B25" i="3" l="1"/>
  <c r="B24" i="3"/>
  <c r="B22" i="3"/>
  <c r="B23" i="3"/>
  <c r="B21" i="3"/>
  <c r="B20" i="3"/>
  <c r="B19" i="3"/>
  <c r="B18" i="3"/>
  <c r="B17" i="3"/>
  <c r="B26" i="3" s="1"/>
  <c r="B18" i="5"/>
  <c r="B56" i="1" s="1"/>
  <c r="E7" i="5"/>
  <c r="D9" i="5"/>
  <c r="D14" i="5"/>
  <c r="E12" i="5"/>
  <c r="C18" i="5"/>
  <c r="C19" i="5" s="1"/>
  <c r="C22" i="5" l="1"/>
  <c r="C30" i="5" s="1"/>
  <c r="C32" i="5"/>
  <c r="E14" i="5"/>
  <c r="F12" i="5"/>
  <c r="F7" i="5"/>
  <c r="E9" i="5"/>
  <c r="E17" i="5" s="1"/>
  <c r="B6" i="4"/>
  <c r="B27" i="1"/>
  <c r="B29" i="3"/>
  <c r="D17" i="5"/>
  <c r="B19" i="5"/>
  <c r="D18" i="5" l="1"/>
  <c r="D19" i="5" s="1"/>
  <c r="B57" i="1"/>
  <c r="B22" i="5"/>
  <c r="B30" i="5" s="1"/>
  <c r="B59" i="1" s="1"/>
  <c r="B30" i="3"/>
  <c r="B34" i="3"/>
  <c r="E18" i="5"/>
  <c r="E19" i="5" s="1"/>
  <c r="G7" i="5"/>
  <c r="F9" i="5"/>
  <c r="F14" i="5"/>
  <c r="G12" i="5"/>
  <c r="E22" i="5" l="1"/>
  <c r="E30" i="5" s="1"/>
  <c r="E32" i="5" s="1"/>
  <c r="D22" i="5"/>
  <c r="D30" i="5" s="1"/>
  <c r="D32" i="5"/>
  <c r="B17" i="1"/>
  <c r="B4" i="6"/>
  <c r="B7" i="4"/>
  <c r="B30" i="1"/>
  <c r="B41" i="5"/>
  <c r="B32" i="5"/>
  <c r="H12" i="5"/>
  <c r="G14" i="5"/>
  <c r="F17" i="5"/>
  <c r="H7" i="5"/>
  <c r="G9" i="5"/>
  <c r="B5" i="6" l="1"/>
  <c r="B6" i="6" s="1"/>
  <c r="I12" i="5"/>
  <c r="H14" i="5"/>
  <c r="B61" i="1"/>
  <c r="C7" i="4"/>
  <c r="B11" i="4"/>
  <c r="G17" i="5"/>
  <c r="I7" i="5"/>
  <c r="H9" i="5"/>
  <c r="F18" i="5"/>
  <c r="F19" i="5" s="1"/>
  <c r="F22" i="5" l="1"/>
  <c r="F30" i="5" s="1"/>
  <c r="F32" i="5" s="1"/>
  <c r="B8" i="6"/>
  <c r="B12" i="6" s="1"/>
  <c r="B13" i="6" s="1"/>
  <c r="B21" i="6" s="1"/>
  <c r="B15" i="4" s="1"/>
  <c r="B18" i="6"/>
  <c r="I9" i="5"/>
  <c r="J7" i="5"/>
  <c r="G18" i="5"/>
  <c r="G19" i="5" s="1"/>
  <c r="C16" i="4"/>
  <c r="C8" i="4"/>
  <c r="C9" i="4"/>
  <c r="C5" i="4"/>
  <c r="C4" i="4"/>
  <c r="C6" i="4"/>
  <c r="J12" i="5"/>
  <c r="I14" i="5"/>
  <c r="H17" i="5"/>
  <c r="G22" i="5" l="1"/>
  <c r="G30" i="5" s="1"/>
  <c r="G32" i="5" s="1"/>
  <c r="G37" i="5" s="1"/>
  <c r="H18" i="5"/>
  <c r="H19" i="5"/>
  <c r="J9" i="5"/>
  <c r="K7" i="5"/>
  <c r="I17" i="5"/>
  <c r="K12" i="5"/>
  <c r="J14" i="5"/>
  <c r="B14" i="4"/>
  <c r="E35" i="5"/>
  <c r="E37" i="5" s="1"/>
  <c r="D35" i="5"/>
  <c r="D37" i="5" s="1"/>
  <c r="C35" i="5"/>
  <c r="C37" i="5" s="1"/>
  <c r="N35" i="5"/>
  <c r="I35" i="5"/>
  <c r="B35" i="5"/>
  <c r="M35" i="5"/>
  <c r="L35" i="5"/>
  <c r="F35" i="5"/>
  <c r="F37" i="5" s="1"/>
  <c r="G35" i="5"/>
  <c r="O35" i="5"/>
  <c r="P35" i="5"/>
  <c r="K35" i="5"/>
  <c r="J35" i="5"/>
  <c r="H35" i="5"/>
  <c r="C15" i="4"/>
  <c r="B45" i="1"/>
  <c r="C11" i="4"/>
  <c r="J17" i="5" l="1"/>
  <c r="L12" i="5"/>
  <c r="K14" i="5"/>
  <c r="C14" i="4"/>
  <c r="B42" i="1"/>
  <c r="B17" i="4"/>
  <c r="C17" i="4" s="1"/>
  <c r="I18" i="5"/>
  <c r="I19" i="5" s="1"/>
  <c r="K9" i="5"/>
  <c r="K17" i="5" s="1"/>
  <c r="L7" i="5"/>
  <c r="B62" i="1"/>
  <c r="B40" i="5"/>
  <c r="B37" i="5"/>
  <c r="B63" i="1" s="1"/>
  <c r="H22" i="5"/>
  <c r="H30" i="5" s="1"/>
  <c r="H32" i="5" s="1"/>
  <c r="H37" i="5" s="1"/>
  <c r="I22" i="5" l="1"/>
  <c r="I30" i="5" s="1"/>
  <c r="I32" i="5" s="1"/>
  <c r="I37" i="5" s="1"/>
  <c r="L9" i="5"/>
  <c r="M7" i="5"/>
  <c r="K18" i="5"/>
  <c r="K19" i="5" s="1"/>
  <c r="B19" i="4"/>
  <c r="B21" i="4" s="1"/>
  <c r="C19" i="4"/>
  <c r="L14" i="5"/>
  <c r="M12" i="5"/>
  <c r="J18" i="5"/>
  <c r="J19" i="5" s="1"/>
  <c r="J22" i="5" l="1"/>
  <c r="J30" i="5" s="1"/>
  <c r="J32" i="5" s="1"/>
  <c r="J37" i="5" s="1"/>
  <c r="K22" i="5"/>
  <c r="K30" i="5" s="1"/>
  <c r="K32" i="5" s="1"/>
  <c r="K37" i="5" s="1"/>
  <c r="M14" i="5"/>
  <c r="N12" i="5"/>
  <c r="L17" i="5"/>
  <c r="M9" i="5"/>
  <c r="M17" i="5" s="1"/>
  <c r="N7" i="5"/>
  <c r="N9" i="5" l="1"/>
  <c r="N17" i="5" s="1"/>
  <c r="O7" i="5"/>
  <c r="N14" i="5"/>
  <c r="O12" i="5"/>
  <c r="M18" i="5"/>
  <c r="M19" i="5" s="1"/>
  <c r="L18" i="5"/>
  <c r="L19" i="5"/>
  <c r="M22" i="5" l="1"/>
  <c r="M30" i="5" s="1"/>
  <c r="M32" i="5" s="1"/>
  <c r="M37" i="5" s="1"/>
  <c r="L22" i="5"/>
  <c r="L30" i="5" s="1"/>
  <c r="L32" i="5"/>
  <c r="L37" i="5" s="1"/>
  <c r="O14" i="5"/>
  <c r="P12" i="5"/>
  <c r="P14" i="5" s="1"/>
  <c r="O9" i="5"/>
  <c r="O17" i="5" s="1"/>
  <c r="P7" i="5"/>
  <c r="P9" i="5" s="1"/>
  <c r="P17" i="5" s="1"/>
  <c r="N19" i="5"/>
  <c r="N18" i="5"/>
  <c r="N22" i="5" l="1"/>
  <c r="N30" i="5" s="1"/>
  <c r="N32" i="5"/>
  <c r="N37" i="5" s="1"/>
  <c r="P18" i="5"/>
  <c r="P19" i="5" s="1"/>
  <c r="O18" i="5"/>
  <c r="O19" i="5" s="1"/>
  <c r="P22" i="5" l="1"/>
  <c r="P30" i="5" s="1"/>
  <c r="P32" i="5"/>
  <c r="P37" i="5" s="1"/>
  <c r="O22" i="5"/>
  <c r="O30" i="5" s="1"/>
  <c r="O32" i="5"/>
  <c r="O37" i="5" s="1"/>
</calcChain>
</file>

<file path=xl/sharedStrings.xml><?xml version="1.0" encoding="utf-8"?>
<sst xmlns="http://schemas.openxmlformats.org/spreadsheetml/2006/main" count="227" uniqueCount="210">
  <si>
    <t>ARTS &amp; AFFORDABLE HOUSING DEVELOPMENT - EXECUTIVE SUMMARY</t>
  </si>
  <si>
    <t>WHAT WE'RE BUILDING</t>
  </si>
  <si>
    <t>This mixed-use development in Seattle integrates affordable housing with arts-focused community spaces:</t>
  </si>
  <si>
    <t>• 12 Affordable Apartments:</t>
  </si>
  <si>
    <t>6 studios (500 SF each) @ $1,448/month and 6 one-bedroom units (650 SF each) @ $1,552/month for individuals and families earning 60% or less of area median income.</t>
  </si>
  <si>
    <t>• Ground Floor Office (800 SF):</t>
  </si>
  <si>
    <t>Commercial office space generating $26,400 annually ($33/SF).</t>
  </si>
  <si>
    <t>• Ground Floor Café (1,000 SF):</t>
  </si>
  <si>
    <t>Community café space generating $33,000 annually ($33/SF), hosting arts events and programming.</t>
  </si>
  <si>
    <t>Total building: approximately 8,700 square feet combining residential and commercial uses.</t>
  </si>
  <si>
    <t>TOTAL DEVELOPMENT COST</t>
  </si>
  <si>
    <t>Total Project Cost:</t>
  </si>
  <si>
    <t>Breakdown (calculated separately):</t>
  </si>
  <si>
    <t>Residential Hard Costs:</t>
  </si>
  <si>
    <t>6,900 SF @ $375/SF</t>
  </si>
  <si>
    <t>Commercial Hard Costs:</t>
  </si>
  <si>
    <t>1,800 SF @ $300/SF</t>
  </si>
  <si>
    <t>Soft Costs (35%):</t>
  </si>
  <si>
    <t>Professional services, permits, arts programming</t>
  </si>
  <si>
    <t>Developer Fee (15%):</t>
  </si>
  <si>
    <t>Reserves:</t>
  </si>
  <si>
    <t>Operating and replacement reserves</t>
  </si>
  <si>
    <t>INNOVATIVE FUNDING STRUCTURE</t>
  </si>
  <si>
    <t>Four-part financing strategy:</t>
  </si>
  <si>
    <t>Tax-Exempt Bonds (~68%):</t>
  </si>
  <si>
    <t>Low-interest financing at 5.5% over 30 years</t>
  </si>
  <si>
    <t>4% LIHTC Equity (~31%):</t>
  </si>
  <si>
    <t>Federal tax credits sold at $0.92/credit</t>
  </si>
  <si>
    <t>Arts &amp; Housing Grants:</t>
  </si>
  <si>
    <t>Foundation and government funding</t>
  </si>
  <si>
    <t>Private Capital:</t>
  </si>
  <si>
    <t>Homestead CLT and partners</t>
  </si>
  <si>
    <t>YEAR 1 OPERATIONS</t>
  </si>
  <si>
    <t>Residential Income:</t>
  </si>
  <si>
    <t>Commercial Income:</t>
  </si>
  <si>
    <t>Other Income:</t>
  </si>
  <si>
    <t>Less: Vacancy (5%):</t>
  </si>
  <si>
    <t>Effective Gross Income:</t>
  </si>
  <si>
    <t>Operating Expenses:</t>
  </si>
  <si>
    <t>Net Operating Income:</t>
  </si>
  <si>
    <t>Annual Debt Service:</t>
  </si>
  <si>
    <t>Cash Flow:</t>
  </si>
  <si>
    <t>WHY THIS MATTERS</t>
  </si>
  <si>
    <t>Addresses Multiple Needs:</t>
  </si>
  <si>
    <t>Uniquely combines affordable housing with arts/cultural spaces for creative communities facing displacement.</t>
  </si>
  <si>
    <t>Permanently Affordable:</t>
  </si>
  <si>
    <t>Community Land Trust model ensures 30+ years of affordability, not temporary relief.</t>
  </si>
  <si>
    <t>Arts Integration:</t>
  </si>
  <si>
    <t>Dedicated café space and programming budget create opportunities for cultural events and community building.</t>
  </si>
  <si>
    <t>Financial Sustainability:</t>
  </si>
  <si>
    <t>Strong debt service coverage (1.20x) ensures long-term viability without ongoing subsidies.</t>
  </si>
  <si>
    <t>Innovative Financing:</t>
  </si>
  <si>
    <t>Leverages tax credits, bonds, and arts-focused grants to maximize available resources.</t>
  </si>
  <si>
    <t>Community Impact:</t>
  </si>
  <si>
    <t>12 families gain stable housing while ground-floor businesses serve the neighborhood.</t>
  </si>
  <si>
    <t>AFFORDABLE RENTAL HOUSING DEVELOPMENT PROFORMA</t>
  </si>
  <si>
    <t>Seattle, Washington - Arts &amp; Housing Focus</t>
  </si>
  <si>
    <t>PROJECT ASSUMPTIONS</t>
  </si>
  <si>
    <t>RESIDENTIAL UNITS</t>
  </si>
  <si>
    <t>Total Residential Units:</t>
  </si>
  <si>
    <t>units</t>
  </si>
  <si>
    <t>Studio Units:</t>
  </si>
  <si>
    <t>1-Bedroom Units:</t>
  </si>
  <si>
    <t>UNIT SIZES</t>
  </si>
  <si>
    <t>Studio SF:</t>
  </si>
  <si>
    <t>SF</t>
  </si>
  <si>
    <t>1-Bedroom SF:</t>
  </si>
  <si>
    <t>Total Residential SF:</t>
  </si>
  <si>
    <t>COMMERCIAL SPACE</t>
  </si>
  <si>
    <t>Office Space:</t>
  </si>
  <si>
    <t>Café Space:</t>
  </si>
  <si>
    <t>Total Commercial SF:</t>
  </si>
  <si>
    <t>TOTAL BUILDING</t>
  </si>
  <si>
    <t>Total Building SF:</t>
  </si>
  <si>
    <t>MONTHLY RENTS</t>
  </si>
  <si>
    <t>Studio Rent:</t>
  </si>
  <si>
    <t>$/month</t>
  </si>
  <si>
    <t>1-Bedroom Rent:</t>
  </si>
  <si>
    <t>COMMERCIAL RENTS (Annual)</t>
  </si>
  <si>
    <t>Office Rent per SF:</t>
  </si>
  <si>
    <t>$/SF/year</t>
  </si>
  <si>
    <t>Café Rent per SF:</t>
  </si>
  <si>
    <t>DEVELOPMENT COSTS</t>
  </si>
  <si>
    <t>Residential Hard Cost/SF:</t>
  </si>
  <si>
    <t>$/SF</t>
  </si>
  <si>
    <t>Commercial Hard Cost/SF:</t>
  </si>
  <si>
    <t>Soft Cost % of Hard:</t>
  </si>
  <si>
    <t>Developer Fee %:</t>
  </si>
  <si>
    <t>of Total Dev Cost</t>
  </si>
  <si>
    <t>FINANCING</t>
  </si>
  <si>
    <t>LIHTC Equity Price:</t>
  </si>
  <si>
    <t>$/credit</t>
  </si>
  <si>
    <t>LIHTC Credit Rate:</t>
  </si>
  <si>
    <t>Bond Interest Rate:</t>
  </si>
  <si>
    <t>Bond Term:</t>
  </si>
  <si>
    <t>years</t>
  </si>
  <si>
    <t>Grant Funding Target:</t>
  </si>
  <si>
    <t>arts &amp; housing grants</t>
  </si>
  <si>
    <t>OPERATIONS</t>
  </si>
  <si>
    <t>Vacancy Rate:</t>
  </si>
  <si>
    <t>Annual Income Growth:</t>
  </si>
  <si>
    <t>Annual Expense Growth:</t>
  </si>
  <si>
    <t>Replacement Reserve:</t>
  </si>
  <si>
    <t>$/unit/year</t>
  </si>
  <si>
    <t>DEVELOPMENT BUDGET</t>
  </si>
  <si>
    <t>Residential &amp; Commercial Calculated Separately</t>
  </si>
  <si>
    <t>RESIDENTIAL HARD COSTS</t>
  </si>
  <si>
    <t>Total Residential SF</t>
  </si>
  <si>
    <t>Residential Hard Cost per SF</t>
  </si>
  <si>
    <t>Total Residential Hard Costs</t>
  </si>
  <si>
    <t>COMMERCIAL HARD COSTS</t>
  </si>
  <si>
    <t>Total Commercial SF</t>
  </si>
  <si>
    <t>Commercial Hard Cost per SF</t>
  </si>
  <si>
    <t>Total Commercial Hard Costs</t>
  </si>
  <si>
    <t>TOTAL HARD COSTS</t>
  </si>
  <si>
    <t>SOFT COSTS</t>
  </si>
  <si>
    <t>Architectural &amp; Engineering</t>
  </si>
  <si>
    <t>Environmental &amp; Permitting</t>
  </si>
  <si>
    <t>Legal Fees</t>
  </si>
  <si>
    <t>Appraisal &amp; Market Study</t>
  </si>
  <si>
    <t>Construction Interest</t>
  </si>
  <si>
    <t>Construction Insurance</t>
  </si>
  <si>
    <t>Marketing &amp; Lease-Up</t>
  </si>
  <si>
    <t>Arts Programming &amp; Community Engagement</t>
  </si>
  <si>
    <t>Other Soft Costs</t>
  </si>
  <si>
    <t>Total Soft Costs</t>
  </si>
  <si>
    <t>DEVELOPER FEE &amp; RESERVES</t>
  </si>
  <si>
    <t>Subtotal (Hard + Soft)</t>
  </si>
  <si>
    <t>Developer Fee (15% of Total)</t>
  </si>
  <si>
    <t>Operating Reserve</t>
  </si>
  <si>
    <t>Replacement Reserve</t>
  </si>
  <si>
    <t>SOURCES &amp; USES OF FUNDS</t>
  </si>
  <si>
    <t>USES OF FUNDS</t>
  </si>
  <si>
    <t>Amount</t>
  </si>
  <si>
    <t>% of Total</t>
  </si>
  <si>
    <t>Residential Hard Costs</t>
  </si>
  <si>
    <t>Commercial Hard Costs</t>
  </si>
  <si>
    <t>Soft Costs</t>
  </si>
  <si>
    <t>Developer Fee</t>
  </si>
  <si>
    <t>TOTAL USES</t>
  </si>
  <si>
    <t>SOURCES OF FUNDS</t>
  </si>
  <si>
    <t>Tax-Exempt Bond Proceeds</t>
  </si>
  <si>
    <t>4% LIHTC Equity</t>
  </si>
  <si>
    <t>Arts &amp; Housing Grants</t>
  </si>
  <si>
    <t>Private Capital / GP Equity</t>
  </si>
  <si>
    <t>TOTAL SOURCES</t>
  </si>
  <si>
    <t>Sources - Uses Check</t>
  </si>
  <si>
    <t>15-YEAR OPERATING PRO FORMA</t>
  </si>
  <si>
    <t>Residential &amp; Commercial Income Calculated Separately</t>
  </si>
  <si>
    <t>Year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</si>
  <si>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</si>
  <si>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</si>
  <si>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</si>
  <si>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</si>
  <si>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</si>
  <si>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</si>
  <si>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</si>
  <si>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</si>
  <si>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</si>
  <si>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</si>
  <si>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</si>
  <si>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</si>
  <si>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</si>
  <si>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</si>
  <si>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</si>
  <si>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RESIDENTIAL INCOME</t>
  </si>
  <si>
    <t>Studio Rent (6 units)</t>
  </si>
  <si>
    <t>1-Bedroom Rent (6 units)</t>
  </si>
  <si>
    <t>Total Residential Rent</t>
  </si>
  <si>
    <t>COMMERCIAL INCOME</t>
  </si>
  <si>
    <t>Office Rent</t>
  </si>
  <si>
    <t>Café Rent</t>
  </si>
  <si>
    <t>Total Commercial Rent</t>
  </si>
  <si>
    <t>OTHER INCOME</t>
  </si>
  <si>
    <t>Gross Potential Income</t>
  </si>
  <si>
    <t>Vacancy Loss (5%)</t>
  </si>
  <si>
    <t>Effective Gross Income</t>
  </si>
  <si>
    <t>OPERATING EXPENSES</t>
  </si>
  <si>
    <t>Property Management (6%)</t>
  </si>
  <si>
    <t>Utilities</t>
  </si>
  <si>
    <t>Insurance</t>
  </si>
  <si>
    <t>Property Taxes</t>
  </si>
  <si>
    <t>Repairs &amp; Maintenance</t>
  </si>
  <si>
    <t>Arts Programming &amp; Events</t>
  </si>
  <si>
    <t>Other Operating Expenses</t>
  </si>
  <si>
    <t>Replacement Reserves</t>
  </si>
  <si>
    <t>Total Operating Expenses</t>
  </si>
  <si>
    <t>Net Operating Income</t>
  </si>
  <si>
    <t>DEBT SERVICE</t>
  </si>
  <si>
    <t>Annual Debt Service</t>
  </si>
  <si>
    <t>Cash Flow After Debt Service</t>
  </si>
  <si>
    <t>KEY METRICS - Year 1</t>
  </si>
  <si>
    <t>Debt Service Coverage Ratio</t>
  </si>
  <si>
    <t>Operating Expense Ratio</t>
  </si>
  <si>
    <t>4% LIHTC CALCULATIONS</t>
  </si>
  <si>
    <t>ELIGIBLE BASIS</t>
  </si>
  <si>
    <t>Total Development Cost</t>
  </si>
  <si>
    <t>Less: Non-Eligible Costs</t>
  </si>
  <si>
    <t>Eligible Basis</t>
  </si>
  <si>
    <t>Applicable Fraction</t>
  </si>
  <si>
    <t>Qualified Basis</t>
  </si>
  <si>
    <t>TAX CREDITS</t>
  </si>
  <si>
    <t>4% Credit Rate</t>
  </si>
  <si>
    <t>Annual Tax Credit</t>
  </si>
  <si>
    <t>10-Year Credit Total</t>
  </si>
  <si>
    <t>Bond Interest Rate</t>
  </si>
  <si>
    <t>Bond Term (years)</t>
  </si>
  <si>
    <t>Tax-Exempt Bond Amount (80% of basis)</t>
  </si>
  <si>
    <t>LIHTC Equity Price ($/credit)</t>
  </si>
  <si>
    <t>LIHTC Equity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</si>
</sst>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"/>
    <numFmt numFmtId="165" formatCode="#,##0;\(#,##0\);\-"/>
    <numFmt numFmtId="166" formatCode="0.0%;\(0.0%\);\-"/>
    <numFmt numFmtId="167" formatCode="\$#,##0.00"/>
    <numFmt numFmtId="168" formatCode="\$#,##0;&quot;($&quot;#,##0\);\-"/>
    <numFmt numFmtId="169" formatCode="0.00\x"/>
  </numFmts>
  <fonts count="14" x14ac:knownFonts="1">
    <font>
      <sz val="11"/>
      <color theme="1"/>
      <name val="Calibri"/>
      <family val="2"/>
      <charset val="1"/>
    </font>
    <font>
      <b/>
      <sz val="16"/>
      <name val="Cambria"/>
      <charset val="1"/>
    </font>
    <font>
      <b/>
      <sz val="13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2"/>
      <color rgb="FF0000FF"/>
      <name val="Cambria"/>
      <charset val="1"/>
    </font>
    <font>
      <b/>
      <sz val="14"/>
      <name val="Cambria"/>
      <charset val="1"/>
    </font>
    <font>
      <b/>
      <sz val="12"/>
      <name val="Cambria"/>
      <charset val="1"/>
    </font>
    <font>
      <b/>
      <sz val="10"/>
      <name val="Cambria"/>
      <charset val="1"/>
    </font>
    <font>
      <sz val="10"/>
      <color rgb="FF000000"/>
      <name val="Cambria"/>
      <charset val="1"/>
    </font>
    <font>
      <sz val="10"/>
      <color rgb="FF0000FF"/>
      <name val="Cambria"/>
      <charset val="1"/>
    </font>
    <font>
      <b/>
      <i/>
      <sz val="11"/>
      <name val="Cambria"/>
      <charset val="1"/>
    </font>
    <font>
      <sz val="10"/>
      <color rgb="FF008000"/>
      <name val="Cambria"/>
      <charset val="1"/>
    </font>
    <font>
      <b/>
      <i/>
      <sz val="10"/>
      <name val="Cambria"/>
      <charset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D3D3D3"/>
      </patternFill>
    </fill>
    <fill>
      <patternFill patternType="solid">
        <fgColor rgb="FFD3D3D3"/>
        <bgColor rgb="FFC0C0C0"/>
      </patternFill>
    </fill>
    <fill>
      <patternFill patternType="solid">
        <fgColor rgb="FFA9A9A9"/>
        <bgColor rgb="FFC0C0C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8" fillId="0" borderId="0" xfId="0" applyFont="1"/>
    <xf numFmtId="0" fontId="7" fillId="3" borderId="0" xfId="0" applyFont="1" applyFill="1"/>
    <xf numFmtId="0" fontId="3" fillId="0" borderId="0" xfId="0" applyFont="1" applyAlignment="1">
      <alignment vertical="top" wrapText="1"/>
    </xf>
    <xf numFmtId="0" fontId="4" fillId="0" borderId="0" xfId="0" applyFont="1"/>
    <xf numFmtId="164" fontId="5" fillId="0" borderId="0" xfId="0" applyNumberFormat="1" applyFont="1"/>
    <xf numFmtId="0" fontId="4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9" fillId="0" borderId="0" xfId="0" applyFont="1"/>
    <xf numFmtId="0" fontId="10" fillId="0" borderId="0" xfId="0" applyFont="1"/>
    <xf numFmtId="165" fontId="10" fillId="0" borderId="0" xfId="0" applyNumberFormat="1" applyFont="1"/>
    <xf numFmtId="165" fontId="9" fillId="0" borderId="0" xfId="0" applyNumberFormat="1" applyFont="1"/>
    <xf numFmtId="166" fontId="10" fillId="0" borderId="0" xfId="0" applyNumberFormat="1" applyFont="1"/>
    <xf numFmtId="167" fontId="10" fillId="0" borderId="0" xfId="0" applyNumberFormat="1" applyFont="1"/>
    <xf numFmtId="165" fontId="12" fillId="0" borderId="0" xfId="0" applyNumberFormat="1" applyFont="1"/>
    <xf numFmtId="168" fontId="12" fillId="0" borderId="0" xfId="0" applyNumberFormat="1" applyFont="1"/>
    <xf numFmtId="168" fontId="9" fillId="0" borderId="0" xfId="0" applyNumberFormat="1" applyFont="1"/>
    <xf numFmtId="168" fontId="8" fillId="0" borderId="1" xfId="0" applyNumberFormat="1" applyFont="1" applyBorder="1"/>
    <xf numFmtId="168" fontId="9" fillId="0" borderId="1" xfId="0" applyNumberFormat="1" applyFont="1" applyBorder="1"/>
    <xf numFmtId="168" fontId="10" fillId="0" borderId="0" xfId="0" applyNumberFormat="1" applyFont="1"/>
    <xf numFmtId="0" fontId="8" fillId="4" borderId="0" xfId="0" applyFont="1" applyFill="1"/>
    <xf numFmtId="168" fontId="8" fillId="4" borderId="1" xfId="0" applyNumberFormat="1" applyFont="1" applyFill="1" applyBorder="1"/>
    <xf numFmtId="0" fontId="8" fillId="3" borderId="0" xfId="0" applyFont="1" applyFill="1"/>
    <xf numFmtId="166" fontId="9" fillId="0" borderId="0" xfId="0" applyNumberFormat="1" applyFont="1"/>
    <xf numFmtId="166" fontId="8" fillId="4" borderId="0" xfId="0" applyNumberFormat="1" applyFont="1" applyFill="1"/>
    <xf numFmtId="168" fontId="8" fillId="5" borderId="0" xfId="0" applyNumberFormat="1" applyFont="1" applyFill="1"/>
    <xf numFmtId="0" fontId="8" fillId="3" borderId="0" xfId="0" applyFont="1" applyFill="1" applyAlignment="1">
      <alignment horizontal="center" vertical="center"/>
    </xf>
    <xf numFmtId="169" fontId="9" fillId="0" borderId="0" xfId="0" applyNumberFormat="1" applyFont="1"/>
    <xf numFmtId="166" fontId="12" fillId="0" borderId="0" xfId="0" applyNumberFormat="1" applyFont="1"/>
    <xf numFmtId="0" fontId="12" fillId="0" borderId="0" xfId="0" applyFont="1"/>
    <xf numFmtId="167" fontId="12" fillId="0" borderId="0" xfId="0" applyNumberFormat="1" applyFont="1"/>
    <xf numFmtId="0" fontId="2" fillId="2" borderId="0" xfId="0" applyFont="1" applyFill="1"/>
    <xf numFmtId="0" fontId="1" fillId="0" borderId="0" xfId="0" applyFont="1"/>
    <xf numFmtId="0" fontId="3" fillId="0" borderId="0" xfId="0" applyFont="1" applyAlignment="1">
      <alignment vertical="top" wrapText="1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7" fillId="3" borderId="0" xfId="0" applyFont="1" applyFill="1"/>
    <xf numFmtId="0" fontId="11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7"/>
  <sheetViews>
    <sheetView topLeftCell="A63" zoomScaleNormal="100" workbookViewId="0">
      <selection sqref="A1:B1"/>
    </sheetView>
  </sheetViews>
  <sheetFormatPr baseColWidth="10" defaultColWidth="8.6640625" defaultRowHeight="15" x14ac:dyDescent="0.2"/>
  <cols>
    <col min="1" max="1" width="85" customWidth="1"/>
    <col min="2" max="2" width="20" customWidth="1"/>
  </cols>
  <sheetData>
    <row r="1" spans="1:2" ht="19.5" customHeight="1" x14ac:dyDescent="0.25">
      <c r="A1" s="32" t="s">
        <v>0</v>
      </c>
      <c r="B1" s="32"/>
    </row>
    <row r="2" spans="1:2" ht="19.5" customHeight="1" x14ac:dyDescent="0.2"/>
    <row r="3" spans="1:2" ht="19.5" customHeight="1" x14ac:dyDescent="0.2">
      <c r="A3" s="31" t="s">
        <v>1</v>
      </c>
      <c r="B3" s="31"/>
    </row>
    <row r="4" spans="1:2" ht="19.5" customHeight="1" x14ac:dyDescent="0.2">
      <c r="A4" s="3"/>
      <c r="B4" s="3"/>
    </row>
    <row r="5" spans="1:2" ht="27.5" customHeight="1" x14ac:dyDescent="0.2">
      <c r="A5" s="3" t="s">
        <v>2</v>
      </c>
      <c r="B5" s="3"/>
    </row>
    <row r="6" spans="1:2" ht="19.5" customHeight="1" x14ac:dyDescent="0.2">
      <c r="A6" s="3"/>
      <c r="B6" s="3"/>
    </row>
    <row r="7" spans="1:2" ht="84.5" customHeight="1" x14ac:dyDescent="0.2">
      <c r="A7" s="3" t="s">
        <v>3</v>
      </c>
      <c r="B7" s="3" t="s">
        <v>4</v>
      </c>
    </row>
    <row r="8" spans="1:2" ht="19.5" customHeight="1" x14ac:dyDescent="0.2">
      <c r="A8" s="3"/>
      <c r="B8" s="3"/>
    </row>
    <row r="9" spans="1:2" ht="43.75" customHeight="1" x14ac:dyDescent="0.2">
      <c r="A9" s="3" t="s">
        <v>5</v>
      </c>
      <c r="B9" s="3" t="s">
        <v>6</v>
      </c>
    </row>
    <row r="10" spans="1:2" ht="19.5" customHeight="1" x14ac:dyDescent="0.2">
      <c r="A10" s="3"/>
      <c r="B10" s="3"/>
    </row>
    <row r="11" spans="1:2" ht="66.5" customHeight="1" x14ac:dyDescent="0.2">
      <c r="A11" s="3" t="s">
        <v>7</v>
      </c>
      <c r="B11" s="3" t="s">
        <v>8</v>
      </c>
    </row>
    <row r="12" spans="1:2" ht="19.5" customHeight="1" x14ac:dyDescent="0.2">
      <c r="A12" s="3"/>
      <c r="B12" s="3"/>
    </row>
    <row r="13" spans="1:2" ht="19.5" customHeight="1" x14ac:dyDescent="0.2">
      <c r="A13" s="3" t="s">
        <v>9</v>
      </c>
      <c r="B13" s="3"/>
    </row>
    <row r="14" spans="1:2" ht="19.5" customHeight="1" x14ac:dyDescent="0.2"/>
    <row r="15" spans="1:2" ht="19.5" customHeight="1" x14ac:dyDescent="0.2">
      <c r="A15" s="31" t="s">
        <v>10</v>
      </c>
      <c r="B15" s="31"/>
    </row>
    <row r="16" spans="1:2" ht="19.5" customHeight="1" x14ac:dyDescent="0.2"/>
    <row r="17" spans="1:2" ht="19.5" customHeight="1" x14ac:dyDescent="0.2">
      <c r="A17" s="4" t="s">
        <v>11</v>
      </c>
      <c r="B17" s="5">
        <f>'Development Budget'!B34</f>
        <v>5097400</v>
      </c>
    </row>
    <row r="18" spans="1:2" ht="19.5" customHeight="1" x14ac:dyDescent="0.2"/>
    <row r="19" spans="1:2" ht="19.5" customHeight="1" x14ac:dyDescent="0.2">
      <c r="A19" s="3" t="s">
        <v>12</v>
      </c>
      <c r="B19" s="3"/>
    </row>
    <row r="20" spans="1:2" ht="19.5" customHeight="1" x14ac:dyDescent="0.2">
      <c r="A20" s="3"/>
      <c r="B20" s="3"/>
    </row>
    <row r="21" spans="1:2" ht="19.5" customHeight="1" x14ac:dyDescent="0.2">
      <c r="A21" s="6" t="s">
        <v>13</v>
      </c>
      <c r="B21" s="7">
        <f>'Development Budget'!B7</f>
        <v>2587500</v>
      </c>
    </row>
    <row r="22" spans="1:2" ht="19.5" customHeight="1" x14ac:dyDescent="0.2">
      <c r="A22" s="3" t="s">
        <v>14</v>
      </c>
      <c r="B22" s="3"/>
    </row>
    <row r="23" spans="1:2" ht="19.5" customHeight="1" x14ac:dyDescent="0.2">
      <c r="A23" s="3"/>
      <c r="B23" s="3"/>
    </row>
    <row r="24" spans="1:2" ht="19.5" customHeight="1" x14ac:dyDescent="0.2">
      <c r="A24" s="6" t="s">
        <v>15</v>
      </c>
      <c r="B24" s="7">
        <f>'Development Budget'!B12</f>
        <v>540000</v>
      </c>
    </row>
    <row r="25" spans="1:2" ht="19.5" customHeight="1" x14ac:dyDescent="0.2">
      <c r="A25" s="3" t="s">
        <v>16</v>
      </c>
      <c r="B25" s="3"/>
    </row>
    <row r="26" spans="1:2" ht="19.5" customHeight="1" x14ac:dyDescent="0.2">
      <c r="A26" s="3"/>
      <c r="B26" s="3"/>
    </row>
    <row r="27" spans="1:2" ht="19.5" customHeight="1" x14ac:dyDescent="0.2">
      <c r="A27" s="6" t="s">
        <v>17</v>
      </c>
      <c r="B27" s="7">
        <f>'Development Budget'!B26</f>
        <v>1094800</v>
      </c>
    </row>
    <row r="28" spans="1:2" ht="19.5" customHeight="1" x14ac:dyDescent="0.2">
      <c r="A28" s="3" t="s">
        <v>18</v>
      </c>
      <c r="B28" s="3"/>
    </row>
    <row r="29" spans="1:2" ht="19.5" customHeight="1" x14ac:dyDescent="0.2">
      <c r="A29" s="3"/>
      <c r="B29" s="3"/>
    </row>
    <row r="30" spans="1:2" ht="19.5" customHeight="1" x14ac:dyDescent="0.2">
      <c r="A30" s="6" t="s">
        <v>19</v>
      </c>
      <c r="B30" s="7">
        <f>'Development Budget'!B30</f>
        <v>745100</v>
      </c>
    </row>
    <row r="31" spans="1:2" ht="19.5" customHeight="1" x14ac:dyDescent="0.2">
      <c r="A31" s="3"/>
      <c r="B31" s="3"/>
    </row>
    <row r="32" spans="1:2" ht="19.5" customHeight="1" x14ac:dyDescent="0.2">
      <c r="A32" s="6" t="s">
        <v>20</v>
      </c>
      <c r="B32" s="7">
        <v>130000</v>
      </c>
    </row>
    <row r="33" spans="1:2" ht="19.5" customHeight="1" x14ac:dyDescent="0.2">
      <c r="A33" s="3" t="s">
        <v>21</v>
      </c>
      <c r="B33" s="3"/>
    </row>
    <row r="34" spans="1:2" ht="19.5" customHeight="1" x14ac:dyDescent="0.2"/>
    <row r="35" spans="1:2" ht="19.5" customHeight="1" x14ac:dyDescent="0.2">
      <c r="A35" s="31" t="s">
        <v>22</v>
      </c>
      <c r="B35" s="31"/>
    </row>
    <row r="36" spans="1:2" ht="19.5" customHeight="1" x14ac:dyDescent="0.2"/>
    <row r="37" spans="1:2" ht="19.5" customHeight="1" x14ac:dyDescent="0.2">
      <c r="A37" s="33" t="s">
        <v>23</v>
      </c>
      <c r="B37" s="33"/>
    </row>
    <row r="38" spans="1:2" ht="19.5" customHeight="1" x14ac:dyDescent="0.2"/>
    <row r="39" spans="1:2" ht="19.5" customHeight="1" x14ac:dyDescent="0.2">
      <c r="A39" s="6" t="s">
        <v>24</v>
      </c>
      <c r="B39" s="7" t="str">
        <f>'Sources &amp; Uses'!B13</f>
        <v>Amount</v>
      </c>
    </row>
    <row r="40" spans="1:2" ht="19.5" customHeight="1" x14ac:dyDescent="0.2">
      <c r="A40" s="3" t="s">
        <v>25</v>
      </c>
      <c r="B40" s="3"/>
    </row>
    <row r="41" spans="1:2" ht="19.5" customHeight="1" x14ac:dyDescent="0.2">
      <c r="A41" s="3"/>
      <c r="B41" s="3"/>
    </row>
    <row r="42" spans="1:2" ht="19.5" customHeight="1" x14ac:dyDescent="0.2">
      <c r="A42" s="6" t="s">
        <v>26</v>
      </c>
      <c r="B42" s="7">
        <f>'Sources &amp; Uses'!B14</f>
        <v>3466200</v>
      </c>
    </row>
    <row r="43" spans="1:2" ht="19.5" customHeight="1" x14ac:dyDescent="0.2">
      <c r="A43" s="3" t="s">
        <v>27</v>
      </c>
      <c r="B43" s="3"/>
    </row>
    <row r="44" spans="1:2" ht="19.5" customHeight="1" x14ac:dyDescent="0.2">
      <c r="A44" s="3"/>
      <c r="B44" s="3"/>
    </row>
    <row r="45" spans="1:2" ht="19.5" customHeight="1" x14ac:dyDescent="0.2">
      <c r="A45" s="6" t="s">
        <v>28</v>
      </c>
      <c r="B45" s="7">
        <f>'Sources &amp; Uses'!B15</f>
        <v>1594400</v>
      </c>
    </row>
    <row r="46" spans="1:2" ht="19.5" customHeight="1" x14ac:dyDescent="0.2">
      <c r="A46" s="3" t="s">
        <v>29</v>
      </c>
      <c r="B46" s="3"/>
    </row>
    <row r="47" spans="1:2" ht="19.5" customHeight="1" x14ac:dyDescent="0.2">
      <c r="A47" s="3"/>
      <c r="B47" s="3"/>
    </row>
    <row r="48" spans="1:2" ht="19.5" customHeight="1" x14ac:dyDescent="0.2">
      <c r="A48" s="6" t="s">
        <v>30</v>
      </c>
      <c r="B48" s="7">
        <f>'Sources &amp; Uses'!B16</f>
        <v>500000</v>
      </c>
    </row>
    <row r="49" spans="1:2" ht="19.5" customHeight="1" x14ac:dyDescent="0.2">
      <c r="A49" s="3" t="s">
        <v>31</v>
      </c>
      <c r="B49" s="3"/>
    </row>
    <row r="50" spans="1:2" ht="19.5" customHeight="1" x14ac:dyDescent="0.2"/>
    <row r="51" spans="1:2" ht="19.5" customHeight="1" x14ac:dyDescent="0.2">
      <c r="A51" s="31" t="s">
        <v>32</v>
      </c>
      <c r="B51" s="31"/>
    </row>
    <row r="52" spans="1:2" ht="19.5" customHeight="1" x14ac:dyDescent="0.2"/>
    <row r="53" spans="1:2" ht="19.5" customHeight="1" x14ac:dyDescent="0.2">
      <c r="A53" s="6" t="s">
        <v>33</v>
      </c>
      <c r="B53" s="7">
        <f>'Operating Pro Forma'!B9</f>
        <v>216000</v>
      </c>
    </row>
    <row r="54" spans="1:2" ht="19.5" customHeight="1" x14ac:dyDescent="0.2">
      <c r="A54" s="6" t="s">
        <v>34</v>
      </c>
      <c r="B54" s="7">
        <f>'Operating Pro Forma'!B14</f>
        <v>59400</v>
      </c>
    </row>
    <row r="55" spans="1:2" ht="19.5" customHeight="1" x14ac:dyDescent="0.2">
      <c r="A55" s="6" t="s">
        <v>35</v>
      </c>
      <c r="B55" s="7">
        <f>'Operating Pro Forma'!B16</f>
        <v>5000</v>
      </c>
    </row>
    <row r="56" spans="1:2" ht="19.5" customHeight="1" x14ac:dyDescent="0.2">
      <c r="A56" s="6" t="s">
        <v>36</v>
      </c>
      <c r="B56" s="7">
        <f>'Operating Pro Forma'!B18</f>
        <v>-14000</v>
      </c>
    </row>
    <row r="57" spans="1:2" ht="19.5" customHeight="1" x14ac:dyDescent="0.2">
      <c r="A57" s="6" t="s">
        <v>37</v>
      </c>
      <c r="B57" s="7">
        <f>'Operating Pro Forma'!B19</f>
        <v>266400</v>
      </c>
    </row>
    <row r="58" spans="1:2" ht="19.5" customHeight="1" x14ac:dyDescent="0.2">
      <c r="A58" s="3"/>
      <c r="B58" s="3"/>
    </row>
    <row r="59" spans="1:2" ht="19.5" customHeight="1" x14ac:dyDescent="0.2">
      <c r="A59" s="6" t="s">
        <v>38</v>
      </c>
      <c r="B59" s="7">
        <f>'Operating Pro Forma'!B30</f>
        <v>113600</v>
      </c>
    </row>
    <row r="60" spans="1:2" ht="19.5" customHeight="1" x14ac:dyDescent="0.2">
      <c r="A60" s="3"/>
      <c r="B60" s="3"/>
    </row>
    <row r="61" spans="1:2" ht="19.5" customHeight="1" x14ac:dyDescent="0.2">
      <c r="A61" s="6" t="s">
        <v>39</v>
      </c>
      <c r="B61" s="7">
        <f>'Operating Pro Forma'!B32</f>
        <v>152800</v>
      </c>
    </row>
    <row r="62" spans="1:2" ht="19.5" customHeight="1" x14ac:dyDescent="0.2">
      <c r="A62" s="6" t="s">
        <v>40</v>
      </c>
      <c r="B62" s="7">
        <f>'Operating Pro Forma'!B35</f>
        <v>238500</v>
      </c>
    </row>
    <row r="63" spans="1:2" ht="19.5" customHeight="1" x14ac:dyDescent="0.2">
      <c r="A63" s="6" t="s">
        <v>41</v>
      </c>
      <c r="B63" s="7">
        <f>'Operating Pro Forma'!B37</f>
        <v>-85700</v>
      </c>
    </row>
    <row r="64" spans="1:2" ht="19.5" customHeight="1" x14ac:dyDescent="0.2"/>
    <row r="65" spans="1:2" ht="19.5" customHeight="1" x14ac:dyDescent="0.2">
      <c r="A65" s="31" t="s">
        <v>42</v>
      </c>
      <c r="B65" s="31"/>
    </row>
    <row r="66" spans="1:2" ht="19.5" customHeight="1" x14ac:dyDescent="0.2">
      <c r="A66" s="3"/>
      <c r="B66" s="3"/>
    </row>
    <row r="67" spans="1:2" ht="54.5" customHeight="1" x14ac:dyDescent="0.2">
      <c r="A67" s="3" t="s">
        <v>43</v>
      </c>
      <c r="B67" s="3" t="s">
        <v>44</v>
      </c>
    </row>
    <row r="68" spans="1:2" ht="19.5" customHeight="1" x14ac:dyDescent="0.2">
      <c r="A68" s="3"/>
      <c r="B68" s="3"/>
    </row>
    <row r="69" spans="1:2" ht="43.75" customHeight="1" x14ac:dyDescent="0.2">
      <c r="A69" s="3" t="s">
        <v>45</v>
      </c>
      <c r="B69" s="3" t="s">
        <v>46</v>
      </c>
    </row>
    <row r="70" spans="1:2" ht="19.5" customHeight="1" x14ac:dyDescent="0.2">
      <c r="A70" s="3"/>
      <c r="B70" s="3"/>
    </row>
    <row r="71" spans="1:2" ht="55.25" customHeight="1" x14ac:dyDescent="0.2">
      <c r="A71" s="3" t="s">
        <v>47</v>
      </c>
      <c r="B71" s="3" t="s">
        <v>48</v>
      </c>
    </row>
    <row r="72" spans="1:2" ht="19.5" customHeight="1" x14ac:dyDescent="0.2">
      <c r="A72" s="3"/>
      <c r="B72" s="3"/>
    </row>
    <row r="73" spans="1:2" ht="19.5" customHeight="1" x14ac:dyDescent="0.2">
      <c r="A73" s="3" t="s">
        <v>49</v>
      </c>
      <c r="B73" s="3" t="s">
        <v>50</v>
      </c>
    </row>
    <row r="74" spans="1:2" ht="19.5" customHeight="1" x14ac:dyDescent="0.2">
      <c r="A74" s="3"/>
      <c r="B74" s="3"/>
    </row>
    <row r="75" spans="1:2" ht="19.5" customHeight="1" x14ac:dyDescent="0.2">
      <c r="A75" s="3" t="s">
        <v>51</v>
      </c>
      <c r="B75" s="3" t="s">
        <v>52</v>
      </c>
    </row>
    <row r="76" spans="1:2" ht="19.5" customHeight="1" x14ac:dyDescent="0.2">
      <c r="A76" s="3"/>
      <c r="B76" s="3"/>
    </row>
    <row r="77" spans="1:2" ht="19.5" customHeight="1" x14ac:dyDescent="0.2">
      <c r="A77" s="3" t="s">
        <v>53</v>
      </c>
      <c r="B77" s="3" t="s">
        <v>54</v>
      </c>
    </row>
  </sheetData>
  <mergeCells count="7">
    <mergeCell ref="A51:B51"/>
    <mergeCell ref="A65:B65"/>
    <mergeCell ref="A1:B1"/>
    <mergeCell ref="A3:B3"/>
    <mergeCell ref="A15:B15"/>
    <mergeCell ref="A35:B35"/>
    <mergeCell ref="A37:B3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zoomScale="109" zoomScaleNormal="109" workbookViewId="0">
      <selection sqref="A1:C1"/>
    </sheetView>
  </sheetViews>
  <sheetFormatPr baseColWidth="10" defaultColWidth="8.6640625" defaultRowHeight="15" x14ac:dyDescent="0.2"/>
  <cols>
    <col min="1" max="1" width="40" customWidth="1"/>
    <col min="2" max="2" width="18" customWidth="1"/>
    <col min="3" max="3" width="25" customWidth="1"/>
  </cols>
  <sheetData>
    <row r="1" spans="1:3" ht="17.25" customHeight="1" x14ac:dyDescent="0.2">
      <c r="A1" s="35" t="s">
        <v>55</v>
      </c>
      <c r="B1" s="35"/>
      <c r="C1" s="35"/>
    </row>
    <row r="2" spans="1:3" ht="15" customHeight="1" x14ac:dyDescent="0.2">
      <c r="A2" s="36" t="s">
        <v>56</v>
      </c>
      <c r="B2" s="36"/>
      <c r="C2" s="36"/>
    </row>
    <row r="4" spans="1:3" ht="15" customHeight="1" x14ac:dyDescent="0.2">
      <c r="A4" s="37" t="s">
        <v>57</v>
      </c>
      <c r="B4" s="37"/>
      <c r="C4" s="37"/>
    </row>
    <row r="6" spans="1:3" ht="15" customHeight="1" x14ac:dyDescent="0.2">
      <c r="A6" s="34" t="s">
        <v>58</v>
      </c>
      <c r="B6" s="34"/>
      <c r="C6" s="34"/>
    </row>
    <row r="7" spans="1:3" ht="15" customHeight="1" x14ac:dyDescent="0.2">
      <c r="A7" s="8" t="s">
        <v>59</v>
      </c>
      <c r="B7" s="9">
        <v>12</v>
      </c>
      <c r="C7" t="s">
        <v>60</v>
      </c>
    </row>
    <row r="8" spans="1:3" ht="15" customHeight="1" x14ac:dyDescent="0.2">
      <c r="A8" s="8" t="s">
        <v>61</v>
      </c>
      <c r="B8" s="9">
        <v>6</v>
      </c>
      <c r="C8" t="s">
        <v>60</v>
      </c>
    </row>
    <row r="9" spans="1:3" ht="15" customHeight="1" x14ac:dyDescent="0.2">
      <c r="A9" s="8" t="s">
        <v>62</v>
      </c>
      <c r="B9" s="9">
        <v>6</v>
      </c>
      <c r="C9" t="s">
        <v>60</v>
      </c>
    </row>
    <row r="11" spans="1:3" ht="15" customHeight="1" x14ac:dyDescent="0.2">
      <c r="A11" s="34" t="s">
        <v>63</v>
      </c>
      <c r="B11" s="34"/>
      <c r="C11" s="34"/>
    </row>
    <row r="12" spans="1:3" ht="15" customHeight="1" x14ac:dyDescent="0.2">
      <c r="A12" s="8" t="s">
        <v>64</v>
      </c>
      <c r="B12" s="10">
        <v>500</v>
      </c>
      <c r="C12" t="s">
        <v>65</v>
      </c>
    </row>
    <row r="13" spans="1:3" ht="15" customHeight="1" x14ac:dyDescent="0.2">
      <c r="A13" s="8" t="s">
        <v>66</v>
      </c>
      <c r="B13" s="10">
        <v>650</v>
      </c>
      <c r="C13" t="s">
        <v>65</v>
      </c>
    </row>
    <row r="14" spans="1:3" ht="15" customHeight="1" x14ac:dyDescent="0.2">
      <c r="A14" s="8" t="s">
        <v>67</v>
      </c>
      <c r="B14" s="11">
        <f>B8*B12+B9*B13</f>
        <v>6900</v>
      </c>
      <c r="C14" t="s">
        <v>65</v>
      </c>
    </row>
    <row r="16" spans="1:3" ht="15" customHeight="1" x14ac:dyDescent="0.2">
      <c r="A16" s="34" t="s">
        <v>68</v>
      </c>
      <c r="B16" s="34"/>
      <c r="C16" s="34"/>
    </row>
    <row r="17" spans="1:3" ht="15" customHeight="1" x14ac:dyDescent="0.2">
      <c r="A17" s="8" t="s">
        <v>69</v>
      </c>
      <c r="B17" s="10">
        <v>800</v>
      </c>
      <c r="C17" t="s">
        <v>65</v>
      </c>
    </row>
    <row r="18" spans="1:3" ht="15" customHeight="1" x14ac:dyDescent="0.2">
      <c r="A18" s="8" t="s">
        <v>70</v>
      </c>
      <c r="B18" s="10">
        <v>1000</v>
      </c>
      <c r="C18" t="s">
        <v>65</v>
      </c>
    </row>
    <row r="19" spans="1:3" ht="15" customHeight="1" x14ac:dyDescent="0.2">
      <c r="A19" s="8" t="s">
        <v>71</v>
      </c>
      <c r="B19" s="11">
        <f>B17+B18</f>
        <v>1800</v>
      </c>
      <c r="C19" t="s">
        <v>65</v>
      </c>
    </row>
    <row r="21" spans="1:3" ht="15" customHeight="1" x14ac:dyDescent="0.2">
      <c r="A21" s="34" t="s">
        <v>72</v>
      </c>
      <c r="B21" s="34"/>
      <c r="C21" s="34"/>
    </row>
    <row r="22" spans="1:3" ht="15" customHeight="1" x14ac:dyDescent="0.2">
      <c r="A22" s="8" t="s">
        <v>73</v>
      </c>
      <c r="B22" s="11">
        <f>B14+B19</f>
        <v>8700</v>
      </c>
      <c r="C22" t="s">
        <v>65</v>
      </c>
    </row>
    <row r="24" spans="1:3" ht="15" customHeight="1" x14ac:dyDescent="0.2">
      <c r="A24" s="34" t="s">
        <v>74</v>
      </c>
      <c r="B24" s="34"/>
      <c r="C24" s="34"/>
    </row>
    <row r="25" spans="1:3" ht="15" customHeight="1" x14ac:dyDescent="0.2">
      <c r="A25" s="8" t="s">
        <v>75</v>
      </c>
      <c r="B25" s="10">
        <v>1448</v>
      </c>
      <c r="C25" t="s">
        <v>76</v>
      </c>
    </row>
    <row r="26" spans="1:3" ht="15" customHeight="1" x14ac:dyDescent="0.2">
      <c r="A26" s="8" t="s">
        <v>77</v>
      </c>
      <c r="B26" s="10">
        <v>1552</v>
      </c>
      <c r="C26" t="s">
        <v>76</v>
      </c>
    </row>
    <row r="28" spans="1:3" ht="15" customHeight="1" x14ac:dyDescent="0.2">
      <c r="A28" s="34" t="s">
        <v>78</v>
      </c>
      <c r="B28" s="34"/>
      <c r="C28" s="34"/>
    </row>
    <row r="29" spans="1:3" ht="15" customHeight="1" x14ac:dyDescent="0.2">
      <c r="A29" s="8" t="s">
        <v>79</v>
      </c>
      <c r="B29" s="9">
        <v>33</v>
      </c>
      <c r="C29" t="s">
        <v>80</v>
      </c>
    </row>
    <row r="30" spans="1:3" ht="15" customHeight="1" x14ac:dyDescent="0.2">
      <c r="A30" s="8" t="s">
        <v>81</v>
      </c>
      <c r="B30" s="9">
        <v>33</v>
      </c>
      <c r="C30" t="s">
        <v>80</v>
      </c>
    </row>
    <row r="32" spans="1:3" ht="15" customHeight="1" x14ac:dyDescent="0.2">
      <c r="A32" s="34" t="s">
        <v>82</v>
      </c>
      <c r="B32" s="34"/>
      <c r="C32" s="34"/>
    </row>
    <row r="33" spans="1:3" ht="15" customHeight="1" x14ac:dyDescent="0.2">
      <c r="A33" s="8" t="s">
        <v>83</v>
      </c>
      <c r="B33" s="10">
        <v>375</v>
      </c>
      <c r="C33" t="s">
        <v>84</v>
      </c>
    </row>
    <row r="34" spans="1:3" ht="15" customHeight="1" x14ac:dyDescent="0.2">
      <c r="A34" s="8" t="s">
        <v>85</v>
      </c>
      <c r="B34" s="10">
        <v>300</v>
      </c>
      <c r="C34" t="s">
        <v>84</v>
      </c>
    </row>
    <row r="35" spans="1:3" ht="15" customHeight="1" x14ac:dyDescent="0.2">
      <c r="A35" s="8" t="s">
        <v>86</v>
      </c>
      <c r="B35" s="12">
        <v>0.35</v>
      </c>
    </row>
    <row r="36" spans="1:3" ht="15" customHeight="1" x14ac:dyDescent="0.2">
      <c r="A36" s="8" t="s">
        <v>87</v>
      </c>
      <c r="B36" s="12">
        <v>0.15</v>
      </c>
      <c r="C36" t="s">
        <v>88</v>
      </c>
    </row>
    <row r="38" spans="1:3" ht="15" customHeight="1" x14ac:dyDescent="0.2">
      <c r="A38" s="34" t="s">
        <v>89</v>
      </c>
      <c r="B38" s="34"/>
      <c r="C38" s="34"/>
    </row>
    <row r="39" spans="1:3" ht="15" customHeight="1" x14ac:dyDescent="0.2">
      <c r="A39" s="8" t="s">
        <v>90</v>
      </c>
      <c r="B39" s="13">
        <v>0.92</v>
      </c>
      <c r="C39" t="s">
        <v>91</v>
      </c>
    </row>
    <row r="40" spans="1:3" ht="15" customHeight="1" x14ac:dyDescent="0.2">
      <c r="A40" s="8" t="s">
        <v>92</v>
      </c>
      <c r="B40" s="12">
        <v>0.04</v>
      </c>
    </row>
    <row r="41" spans="1:3" ht="15" customHeight="1" x14ac:dyDescent="0.2">
      <c r="A41" s="8" t="s">
        <v>93</v>
      </c>
      <c r="B41" s="12">
        <v>5.5E-2</v>
      </c>
    </row>
    <row r="42" spans="1:3" ht="15" customHeight="1" x14ac:dyDescent="0.2">
      <c r="A42" s="8" t="s">
        <v>94</v>
      </c>
      <c r="B42" s="9">
        <v>30</v>
      </c>
      <c r="C42" t="s">
        <v>95</v>
      </c>
    </row>
    <row r="43" spans="1:3" ht="15" customHeight="1" x14ac:dyDescent="0.2">
      <c r="A43" s="8" t="s">
        <v>96</v>
      </c>
      <c r="B43" s="10">
        <v>500000</v>
      </c>
      <c r="C43" t="s">
        <v>97</v>
      </c>
    </row>
    <row r="45" spans="1:3" ht="15" customHeight="1" x14ac:dyDescent="0.2">
      <c r="A45" s="34" t="s">
        <v>98</v>
      </c>
      <c r="B45" s="34"/>
      <c r="C45" s="34"/>
    </row>
    <row r="46" spans="1:3" ht="15" customHeight="1" x14ac:dyDescent="0.2">
      <c r="A46" s="8" t="s">
        <v>99</v>
      </c>
      <c r="B46" s="12">
        <v>0.05</v>
      </c>
    </row>
    <row r="47" spans="1:3" ht="15" customHeight="1" x14ac:dyDescent="0.2">
      <c r="A47" s="8" t="s">
        <v>100</v>
      </c>
      <c r="B47" s="12">
        <v>2.5000000000000001E-2</v>
      </c>
    </row>
    <row r="48" spans="1:3" ht="15" customHeight="1" x14ac:dyDescent="0.2">
      <c r="A48" s="8" t="s">
        <v>101</v>
      </c>
      <c r="B48" s="12">
        <v>0.03</v>
      </c>
    </row>
    <row r="49" spans="1:3" ht="15" customHeight="1" x14ac:dyDescent="0.2">
      <c r="A49" s="8" t="s">
        <v>102</v>
      </c>
      <c r="B49" s="10">
        <v>300</v>
      </c>
      <c r="C49" t="s">
        <v>103</v>
      </c>
    </row>
  </sheetData>
  <mergeCells count="12">
    <mergeCell ref="A1:C1"/>
    <mergeCell ref="A2:C2"/>
    <mergeCell ref="A4:C4"/>
    <mergeCell ref="A6:C6"/>
    <mergeCell ref="A11:C11"/>
    <mergeCell ref="A38:C38"/>
    <mergeCell ref="A45:C45"/>
    <mergeCell ref="A16:C16"/>
    <mergeCell ref="A21:C21"/>
    <mergeCell ref="A24:C24"/>
    <mergeCell ref="A28:C28"/>
    <mergeCell ref="A32:C3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zoomScaleNormal="100" workbookViewId="0">
      <selection sqref="A1:B1"/>
    </sheetView>
  </sheetViews>
  <sheetFormatPr baseColWidth="10" defaultColWidth="8.6640625" defaultRowHeight="15" x14ac:dyDescent="0.2"/>
  <cols>
    <col min="1" max="1" width="45" customWidth="1"/>
    <col min="2" max="2" width="18" customWidth="1"/>
  </cols>
  <sheetData>
    <row r="1" spans="1:2" ht="17.25" customHeight="1" x14ac:dyDescent="0.2">
      <c r="A1" s="35" t="s">
        <v>104</v>
      </c>
      <c r="B1" s="35"/>
    </row>
    <row r="2" spans="1:2" ht="15" customHeight="1" x14ac:dyDescent="0.2">
      <c r="A2" s="38" t="s">
        <v>105</v>
      </c>
      <c r="B2" s="38"/>
    </row>
    <row r="4" spans="1:2" ht="15" customHeight="1" x14ac:dyDescent="0.2">
      <c r="A4" s="37" t="s">
        <v>106</v>
      </c>
      <c r="B4" s="37"/>
    </row>
    <row r="5" spans="1:2" ht="15" customHeight="1" x14ac:dyDescent="0.2">
      <c r="A5" t="s">
        <v>107</v>
      </c>
      <c r="B5" s="14">
        <f>Summary!B14</f>
        <v>6900</v>
      </c>
    </row>
    <row r="6" spans="1:2" ht="15" customHeight="1" x14ac:dyDescent="0.2">
      <c r="A6" t="s">
        <v>108</v>
      </c>
      <c r="B6" s="15">
        <f>Summary!B33</f>
        <v>375</v>
      </c>
    </row>
    <row r="7" spans="1:2" ht="15" customHeight="1" x14ac:dyDescent="0.2">
      <c r="A7" t="s">
        <v>109</v>
      </c>
      <c r="B7" s="16">
        <f>ROUND(B5*B6,-2)</f>
        <v>2587500</v>
      </c>
    </row>
    <row r="9" spans="1:2" ht="15" customHeight="1" x14ac:dyDescent="0.2">
      <c r="A9" s="37" t="s">
        <v>110</v>
      </c>
      <c r="B9" s="37"/>
    </row>
    <row r="10" spans="1:2" ht="15" customHeight="1" x14ac:dyDescent="0.2">
      <c r="A10" t="s">
        <v>111</v>
      </c>
      <c r="B10" s="14">
        <f>Summary!B19</f>
        <v>1800</v>
      </c>
    </row>
    <row r="11" spans="1:2" ht="15" customHeight="1" x14ac:dyDescent="0.2">
      <c r="A11" t="s">
        <v>112</v>
      </c>
      <c r="B11" s="15">
        <f>Summary!B34</f>
        <v>300</v>
      </c>
    </row>
    <row r="12" spans="1:2" ht="15" customHeight="1" x14ac:dyDescent="0.2">
      <c r="A12" t="s">
        <v>113</v>
      </c>
      <c r="B12" s="16">
        <f>ROUND(B10*B11,-2)</f>
        <v>540000</v>
      </c>
    </row>
    <row r="14" spans="1:2" ht="15" customHeight="1" x14ac:dyDescent="0.2">
      <c r="A14" s="1" t="s">
        <v>114</v>
      </c>
      <c r="B14" s="17">
        <f>ROUND(B7+B12,-2)</f>
        <v>3127500</v>
      </c>
    </row>
    <row r="16" spans="1:2" ht="15" customHeight="1" x14ac:dyDescent="0.2">
      <c r="A16" s="37" t="s">
        <v>115</v>
      </c>
      <c r="B16" s="37"/>
    </row>
    <row r="17" spans="1:2" ht="15" customHeight="1" x14ac:dyDescent="0.2">
      <c r="A17" t="s">
        <v>116</v>
      </c>
      <c r="B17" s="16">
        <f>ROUND(B14*0.08,-2)</f>
        <v>250200</v>
      </c>
    </row>
    <row r="18" spans="1:2" ht="15" customHeight="1" x14ac:dyDescent="0.2">
      <c r="A18" t="s">
        <v>117</v>
      </c>
      <c r="B18" s="16">
        <f>ROUND(B14*0.03,-2)</f>
        <v>93800</v>
      </c>
    </row>
    <row r="19" spans="1:2" ht="15" customHeight="1" x14ac:dyDescent="0.2">
      <c r="A19" t="s">
        <v>118</v>
      </c>
      <c r="B19" s="16">
        <f>ROUND(B14*0.02,-2)</f>
        <v>62600</v>
      </c>
    </row>
    <row r="20" spans="1:2" ht="15" customHeight="1" x14ac:dyDescent="0.2">
      <c r="A20" t="s">
        <v>119</v>
      </c>
      <c r="B20" s="16">
        <f>ROUND(B14*0.01,-2)</f>
        <v>31300</v>
      </c>
    </row>
    <row r="21" spans="1:2" ht="15" customHeight="1" x14ac:dyDescent="0.2">
      <c r="A21" t="s">
        <v>120</v>
      </c>
      <c r="B21" s="16">
        <f>ROUND(B14*0.04,-2)</f>
        <v>125100</v>
      </c>
    </row>
    <row r="22" spans="1:2" ht="15" customHeight="1" x14ac:dyDescent="0.2">
      <c r="A22" t="s">
        <v>121</v>
      </c>
      <c r="B22" s="16">
        <f>ROUND(B14*0.02,-2)</f>
        <v>62600</v>
      </c>
    </row>
    <row r="23" spans="1:2" ht="15" customHeight="1" x14ac:dyDescent="0.2">
      <c r="A23" t="s">
        <v>122</v>
      </c>
      <c r="B23" s="16">
        <f>ROUND(B14*0.02,-2)</f>
        <v>62600</v>
      </c>
    </row>
    <row r="24" spans="1:2" ht="15" customHeight="1" x14ac:dyDescent="0.2">
      <c r="A24" t="s">
        <v>123</v>
      </c>
      <c r="B24" s="16">
        <f>ROUND(B14*0.03,-2)</f>
        <v>93800</v>
      </c>
    </row>
    <row r="25" spans="1:2" ht="15" customHeight="1" x14ac:dyDescent="0.2">
      <c r="A25" t="s">
        <v>124</v>
      </c>
      <c r="B25" s="16">
        <f>ROUND(B14*0.1,-2)</f>
        <v>312800</v>
      </c>
    </row>
    <row r="26" spans="1:2" ht="15" customHeight="1" x14ac:dyDescent="0.2">
      <c r="A26" s="1" t="s">
        <v>125</v>
      </c>
      <c r="B26" s="18">
        <f>ROUND(SUM(B17:B25),-2)</f>
        <v>1094800</v>
      </c>
    </row>
    <row r="28" spans="1:2" ht="15" customHeight="1" x14ac:dyDescent="0.2">
      <c r="A28" s="37" t="s">
        <v>126</v>
      </c>
      <c r="B28" s="37"/>
    </row>
    <row r="29" spans="1:2" ht="15" customHeight="1" x14ac:dyDescent="0.2">
      <c r="A29" t="s">
        <v>127</v>
      </c>
      <c r="B29" s="16">
        <f>ROUND(B14+B26,-2)</f>
        <v>4222300</v>
      </c>
    </row>
    <row r="30" spans="1:2" ht="15" customHeight="1" x14ac:dyDescent="0.2">
      <c r="A30" t="s">
        <v>128</v>
      </c>
      <c r="B30" s="16">
        <f>ROUND(B29/(1-Summary!B36)*Summary!B36,-2)</f>
        <v>745100</v>
      </c>
    </row>
    <row r="31" spans="1:2" ht="15" customHeight="1" x14ac:dyDescent="0.2">
      <c r="A31" t="s">
        <v>129</v>
      </c>
      <c r="B31" s="19">
        <v>80000</v>
      </c>
    </row>
    <row r="32" spans="1:2" ht="15" customHeight="1" x14ac:dyDescent="0.2">
      <c r="A32" t="s">
        <v>130</v>
      </c>
      <c r="B32" s="19">
        <v>50000</v>
      </c>
    </row>
    <row r="34" spans="1:2" ht="15" customHeight="1" x14ac:dyDescent="0.2">
      <c r="A34" s="20" t="s">
        <v>10</v>
      </c>
      <c r="B34" s="21">
        <f>ROUND(B29+B30+B31+B32,-2)</f>
        <v>5097400</v>
      </c>
    </row>
  </sheetData>
  <mergeCells count="6">
    <mergeCell ref="A28:B28"/>
    <mergeCell ref="A1:B1"/>
    <mergeCell ref="A2:B2"/>
    <mergeCell ref="A4:B4"/>
    <mergeCell ref="A9:B9"/>
    <mergeCell ref="A16:B1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zoomScaleNormal="100" workbookViewId="0">
      <selection sqref="A1:C1"/>
    </sheetView>
  </sheetViews>
  <sheetFormatPr baseColWidth="10" defaultColWidth="8.6640625" defaultRowHeight="15" x14ac:dyDescent="0.2"/>
  <cols>
    <col min="1" max="1" width="45" customWidth="1"/>
    <col min="2" max="2" width="18" customWidth="1"/>
    <col min="3" max="3" width="15" customWidth="1"/>
  </cols>
  <sheetData>
    <row r="1" spans="1:3" ht="17.25" customHeight="1" x14ac:dyDescent="0.2">
      <c r="A1" s="35" t="s">
        <v>131</v>
      </c>
      <c r="B1" s="35"/>
      <c r="C1" s="35"/>
    </row>
    <row r="3" spans="1:3" ht="15" customHeight="1" x14ac:dyDescent="0.2">
      <c r="A3" s="2" t="s">
        <v>132</v>
      </c>
      <c r="B3" s="22" t="s">
        <v>133</v>
      </c>
      <c r="C3" s="22" t="s">
        <v>134</v>
      </c>
    </row>
    <row r="4" spans="1:3" ht="15" customHeight="1" x14ac:dyDescent="0.2">
      <c r="A4" t="s">
        <v>135</v>
      </c>
      <c r="B4" s="15">
        <f>'Development Budget'!B7</f>
        <v>2587500</v>
      </c>
      <c r="C4" s="23">
        <f t="shared" ref="C4:C9" si="0">B4/$B$11</f>
        <v>0.50761172362380824</v>
      </c>
    </row>
    <row r="5" spans="1:3" ht="15" customHeight="1" x14ac:dyDescent="0.2">
      <c r="A5" t="s">
        <v>136</v>
      </c>
      <c r="B5" s="15">
        <f>'Development Budget'!B12</f>
        <v>540000</v>
      </c>
      <c r="C5" s="23">
        <f t="shared" si="0"/>
        <v>0.10593635971279476</v>
      </c>
    </row>
    <row r="6" spans="1:3" ht="15" customHeight="1" x14ac:dyDescent="0.2">
      <c r="A6" t="s">
        <v>137</v>
      </c>
      <c r="B6" s="15">
        <f>'Development Budget'!B26</f>
        <v>1094800</v>
      </c>
      <c r="C6" s="23">
        <f t="shared" si="0"/>
        <v>0.21477616039549574</v>
      </c>
    </row>
    <row r="7" spans="1:3" ht="15" customHeight="1" x14ac:dyDescent="0.2">
      <c r="A7" t="s">
        <v>138</v>
      </c>
      <c r="B7" s="15">
        <f>'Development Budget'!B30</f>
        <v>745100</v>
      </c>
      <c r="C7" s="23">
        <f t="shared" si="0"/>
        <v>0.1461725585592655</v>
      </c>
    </row>
    <row r="8" spans="1:3" ht="15" customHeight="1" x14ac:dyDescent="0.2">
      <c r="A8" t="s">
        <v>129</v>
      </c>
      <c r="B8" s="15">
        <f>'Development Budget'!B31</f>
        <v>80000</v>
      </c>
      <c r="C8" s="23">
        <f t="shared" si="0"/>
        <v>1.5694275513006631E-2</v>
      </c>
    </row>
    <row r="9" spans="1:3" ht="15" customHeight="1" x14ac:dyDescent="0.2">
      <c r="A9" t="s">
        <v>130</v>
      </c>
      <c r="B9" s="15">
        <f>'Development Budget'!B32</f>
        <v>50000</v>
      </c>
      <c r="C9" s="23">
        <f t="shared" si="0"/>
        <v>9.8089221956291443E-3</v>
      </c>
    </row>
    <row r="11" spans="1:3" ht="15" customHeight="1" x14ac:dyDescent="0.2">
      <c r="A11" s="20" t="s">
        <v>139</v>
      </c>
      <c r="B11" s="21">
        <f>ROUND(SUM(B4:B9),-2)</f>
        <v>5097400</v>
      </c>
      <c r="C11" s="24">
        <f>SUM(C4:C9)</f>
        <v>1</v>
      </c>
    </row>
    <row r="13" spans="1:3" ht="15" customHeight="1" x14ac:dyDescent="0.2">
      <c r="A13" s="2" t="s">
        <v>140</v>
      </c>
      <c r="B13" s="22" t="s">
        <v>133</v>
      </c>
      <c r="C13" s="22" t="s">
        <v>134</v>
      </c>
    </row>
    <row r="14" spans="1:3" ht="15" customHeight="1" x14ac:dyDescent="0.2">
      <c r="A14" t="s">
        <v>141</v>
      </c>
      <c r="B14" s="15">
        <f>'LIHTC Calculations'!B18</f>
        <v>3466200</v>
      </c>
      <c r="C14" s="23">
        <f>B14/$B$11</f>
        <v>0.67999372228979482</v>
      </c>
    </row>
    <row r="15" spans="1:3" ht="15" customHeight="1" x14ac:dyDescent="0.2">
      <c r="A15" t="s">
        <v>142</v>
      </c>
      <c r="B15" s="15">
        <f>'LIHTC Calculations'!B21</f>
        <v>1594400</v>
      </c>
      <c r="C15" s="23">
        <f>B15/$B$11</f>
        <v>0.31278691097422218</v>
      </c>
    </row>
    <row r="16" spans="1:3" ht="15" customHeight="1" x14ac:dyDescent="0.2">
      <c r="A16" t="s">
        <v>143</v>
      </c>
      <c r="B16" s="15">
        <f>Summary!B43</f>
        <v>500000</v>
      </c>
      <c r="C16" s="23">
        <f>B16/$B$11</f>
        <v>9.8089221956291439E-2</v>
      </c>
    </row>
    <row r="17" spans="1:3" ht="15" customHeight="1" x14ac:dyDescent="0.2">
      <c r="A17" t="s">
        <v>144</v>
      </c>
      <c r="B17" s="16">
        <f>ROUND($B$11-B14-B15-B16,-2)</f>
        <v>-463200</v>
      </c>
      <c r="C17" s="23">
        <f>B17/$B$11</f>
        <v>-9.0869855220308396E-2</v>
      </c>
    </row>
    <row r="19" spans="1:3" ht="15" customHeight="1" x14ac:dyDescent="0.2">
      <c r="A19" s="20" t="s">
        <v>145</v>
      </c>
      <c r="B19" s="21">
        <f>ROUND(SUM(B14:B17),-2)</f>
        <v>5097400</v>
      </c>
      <c r="C19" s="24">
        <f>SUM(C14:C17)</f>
        <v>1</v>
      </c>
    </row>
    <row r="21" spans="1:3" ht="15" customHeight="1" x14ac:dyDescent="0.2">
      <c r="A21" s="1" t="s">
        <v>146</v>
      </c>
      <c r="B21" s="25">
        <f>B19-B11</f>
        <v>0</v>
      </c>
    </row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1"/>
  <sheetViews>
    <sheetView zoomScaleNormal="100" workbookViewId="0">
      <selection sqref="A1:Q1"/>
    </sheetView>
  </sheetViews>
  <sheetFormatPr baseColWidth="10" defaultColWidth="8.6640625" defaultRowHeight="15" x14ac:dyDescent="0.2"/>
  <cols>
    <col min="1" max="1" width="35" customWidth="1"/>
    <col min="2" max="17" width="12" customWidth="1"/>
  </cols>
  <sheetData>
    <row r="1" spans="1:17" ht="17.25" customHeight="1" x14ac:dyDescent="0.2">
      <c r="A1" s="35" t="s">
        <v>147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15" customHeight="1" x14ac:dyDescent="0.2">
      <c r="A2" s="39" t="s">
        <v>148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4" spans="1:17" ht="15" customHeight="1" x14ac:dyDescent="0.2">
      <c r="A4" s="22" t="s">
        <v>149</v>
      </c>
      <c r="B4" s="26" t="s">
        <v>150</v>
      </c>
      <c r="C4" s="26" t="s">
        <v>151</v>
      </c>
      <c r="D4" s="26" t="s">
        <v>152</v>
      </c>
      <c r="E4" s="26" t="s">
        <v>153</v>
      </c>
      <c r="F4" s="26" t="s">
        <v>154</v>
      </c>
      <c r="G4" s="26" t="s">
        <v>155</v>
      </c>
      <c r="H4" s="26" t="s">
        <v>156</v>
      </c>
      <c r="I4" s="26" t="s">
        <v>157</v>
      </c>
      <c r="J4" s="26" t="s">
        <v>158</v>
      </c>
      <c r="K4" s="26" t="s">
        <v>159</v>
      </c>
      <c r="L4" s="26" t="s">
        <v>160</v>
      </c>
      <c r="M4" s="26" t="s">
        <v>161</v>
      </c>
      <c r="N4" s="26" t="s">
        <v>162</v>
      </c>
      <c r="O4" s="26" t="s">
        <v>163</v>
      </c>
      <c r="P4" s="26" t="s">
        <v>164</v>
      </c>
    </row>
    <row r="6" spans="1:17" ht="15" customHeight="1" x14ac:dyDescent="0.2">
      <c r="A6" s="37" t="s">
        <v>165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5" customHeight="1" x14ac:dyDescent="0.2">
      <c r="A7" t="s">
        <v>166</v>
      </c>
      <c r="B7" s="16">
        <f>ROUND(Summary!B8*12*Summary!B25,-2)</f>
        <v>104300</v>
      </c>
      <c r="C7" s="16">
        <f>ROUND(B7*(1+Summary!$B$47),-2)</f>
        <v>106900</v>
      </c>
      <c r="D7" s="16">
        <f>ROUND(C7*(1+Summary!$B$47),-2)</f>
        <v>109600</v>
      </c>
      <c r="E7" s="16">
        <f>ROUND(D7*(1+Summary!$B$47),-2)</f>
        <v>112300</v>
      </c>
      <c r="F7" s="16">
        <f>ROUND(E7*(1+Summary!$B$47),-2)</f>
        <v>115100</v>
      </c>
      <c r="G7" s="16">
        <f>ROUND(F7*(1+Summary!$B$47),-2)</f>
        <v>118000</v>
      </c>
      <c r="H7" s="16">
        <f>ROUND(G7*(1+Summary!$B$47),-2)</f>
        <v>121000</v>
      </c>
      <c r="I7" s="16">
        <f>ROUND(H7*(1+Summary!$B$47),-2)</f>
        <v>124000</v>
      </c>
      <c r="J7" s="16">
        <f>ROUND(I7*(1+Summary!$B$47),-2)</f>
        <v>127100</v>
      </c>
      <c r="K7" s="16">
        <f>ROUND(J7*(1+Summary!$B$47),-2)</f>
        <v>130300</v>
      </c>
      <c r="L7" s="16">
        <f>ROUND(K7*(1+Summary!$B$47),-2)</f>
        <v>133600</v>
      </c>
      <c r="M7" s="16">
        <f>ROUND(L7*(1+Summary!$B$47),-2)</f>
        <v>136900</v>
      </c>
      <c r="N7" s="16">
        <f>ROUND(M7*(1+Summary!$B$47),-2)</f>
        <v>140300</v>
      </c>
      <c r="O7" s="16">
        <f>ROUND(N7*(1+Summary!$B$47),-2)</f>
        <v>143800</v>
      </c>
      <c r="P7" s="16">
        <f>ROUND(O7*(1+Summary!$B$47),-2)</f>
        <v>147400</v>
      </c>
    </row>
    <row r="8" spans="1:17" ht="15" customHeight="1" x14ac:dyDescent="0.2">
      <c r="A8" t="s">
        <v>167</v>
      </c>
      <c r="B8" s="16">
        <f>ROUND(Summary!B9*12*Summary!B26,-2)</f>
        <v>111700</v>
      </c>
      <c r="C8" s="16">
        <f>ROUND(B8*(1+Summary!$B$47),-2)</f>
        <v>114500</v>
      </c>
      <c r="D8" s="16">
        <f>ROUND(C8*(1+Summary!$B$47),-2)</f>
        <v>117400</v>
      </c>
      <c r="E8" s="16">
        <f>ROUND(D8*(1+Summary!$B$47),-2)</f>
        <v>120300</v>
      </c>
      <c r="F8" s="16">
        <f>ROUND(E8*(1+Summary!$B$47),-2)</f>
        <v>123300</v>
      </c>
      <c r="G8" s="16">
        <f>ROUND(F8*(1+Summary!$B$47),-2)</f>
        <v>126400</v>
      </c>
      <c r="H8" s="16">
        <f>ROUND(G8*(1+Summary!$B$47),-2)</f>
        <v>129600</v>
      </c>
      <c r="I8" s="16">
        <f>ROUND(H8*(1+Summary!$B$47),-2)</f>
        <v>132800</v>
      </c>
      <c r="J8" s="16">
        <f>ROUND(I8*(1+Summary!$B$47),-2)</f>
        <v>136100</v>
      </c>
      <c r="K8" s="16">
        <f>ROUND(J8*(1+Summary!$B$47),-2)</f>
        <v>139500</v>
      </c>
      <c r="L8" s="16">
        <f>ROUND(K8*(1+Summary!$B$47),-2)</f>
        <v>143000</v>
      </c>
      <c r="M8" s="16">
        <f>ROUND(L8*(1+Summary!$B$47),-2)</f>
        <v>146600</v>
      </c>
      <c r="N8" s="16">
        <f>ROUND(M8*(1+Summary!$B$47),-2)</f>
        <v>150300</v>
      </c>
      <c r="O8" s="16">
        <f>ROUND(N8*(1+Summary!$B$47),-2)</f>
        <v>154100</v>
      </c>
      <c r="P8" s="16">
        <f>ROUND(O8*(1+Summary!$B$47),-2)</f>
        <v>158000</v>
      </c>
    </row>
    <row r="9" spans="1:17" ht="15" customHeight="1" x14ac:dyDescent="0.2">
      <c r="A9" s="1" t="s">
        <v>168</v>
      </c>
      <c r="B9" s="17">
        <f t="shared" ref="B9:P9" si="0">ROUND(B7+B8,-2)</f>
        <v>216000</v>
      </c>
      <c r="C9" s="17">
        <f t="shared" si="0"/>
        <v>221400</v>
      </c>
      <c r="D9" s="17">
        <f t="shared" si="0"/>
        <v>227000</v>
      </c>
      <c r="E9" s="17">
        <f t="shared" si="0"/>
        <v>232600</v>
      </c>
      <c r="F9" s="17">
        <f t="shared" si="0"/>
        <v>238400</v>
      </c>
      <c r="G9" s="17">
        <f t="shared" si="0"/>
        <v>244400</v>
      </c>
      <c r="H9" s="17">
        <f t="shared" si="0"/>
        <v>250600</v>
      </c>
      <c r="I9" s="17">
        <f t="shared" si="0"/>
        <v>256800</v>
      </c>
      <c r="J9" s="17">
        <f t="shared" si="0"/>
        <v>263200</v>
      </c>
      <c r="K9" s="17">
        <f t="shared" si="0"/>
        <v>269800</v>
      </c>
      <c r="L9" s="17">
        <f t="shared" si="0"/>
        <v>276600</v>
      </c>
      <c r="M9" s="17">
        <f t="shared" si="0"/>
        <v>283500</v>
      </c>
      <c r="N9" s="17">
        <f t="shared" si="0"/>
        <v>290600</v>
      </c>
      <c r="O9" s="17">
        <f t="shared" si="0"/>
        <v>297900</v>
      </c>
      <c r="P9" s="17">
        <f t="shared" si="0"/>
        <v>305400</v>
      </c>
    </row>
    <row r="11" spans="1:17" ht="15" customHeight="1" x14ac:dyDescent="0.2">
      <c r="A11" s="37" t="s">
        <v>169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ht="15" customHeight="1" x14ac:dyDescent="0.2">
      <c r="A12" t="s">
        <v>170</v>
      </c>
      <c r="B12" s="16">
        <f>ROUND(Summary!B17*Summary!B29,-2)</f>
        <v>26400</v>
      </c>
      <c r="C12" s="16">
        <f>ROUND(B12*(1+Summary!$B$47),-2)</f>
        <v>27100</v>
      </c>
      <c r="D12" s="16">
        <f>ROUND(C12*(1+Summary!$B$47),-2)</f>
        <v>27800</v>
      </c>
      <c r="E12" s="16">
        <f>ROUND(D12*(1+Summary!$B$47),-2)</f>
        <v>28500</v>
      </c>
      <c r="F12" s="16">
        <f>ROUND(E12*(1+Summary!$B$47),-2)</f>
        <v>29200</v>
      </c>
      <c r="G12" s="16">
        <f>ROUND(F12*(1+Summary!$B$47),-2)</f>
        <v>29900</v>
      </c>
      <c r="H12" s="16">
        <f>ROUND(G12*(1+Summary!$B$47),-2)</f>
        <v>30600</v>
      </c>
      <c r="I12" s="16">
        <f>ROUND(H12*(1+Summary!$B$47),-2)</f>
        <v>31400</v>
      </c>
      <c r="J12" s="16">
        <f>ROUND(I12*(1+Summary!$B$47),-2)</f>
        <v>32200</v>
      </c>
      <c r="K12" s="16">
        <f>ROUND(J12*(1+Summary!$B$47),-2)</f>
        <v>33000</v>
      </c>
      <c r="L12" s="16">
        <f>ROUND(K12*(1+Summary!$B$47),-2)</f>
        <v>33800</v>
      </c>
      <c r="M12" s="16">
        <f>ROUND(L12*(1+Summary!$B$47),-2)</f>
        <v>34600</v>
      </c>
      <c r="N12" s="16">
        <f>ROUND(M12*(1+Summary!$B$47),-2)</f>
        <v>35500</v>
      </c>
      <c r="O12" s="16">
        <f>ROUND(N12*(1+Summary!$B$47),-2)</f>
        <v>36400</v>
      </c>
      <c r="P12" s="16">
        <f>ROUND(O12*(1+Summary!$B$47),-2)</f>
        <v>37300</v>
      </c>
    </row>
    <row r="13" spans="1:17" ht="15" customHeight="1" x14ac:dyDescent="0.2">
      <c r="A13" t="s">
        <v>171</v>
      </c>
      <c r="B13" s="16">
        <f>ROUND(Summary!B18*Summary!B30,-2)</f>
        <v>33000</v>
      </c>
      <c r="C13" s="16">
        <f>ROUND(B13*(1+Summary!$B$47),-2)</f>
        <v>33800</v>
      </c>
      <c r="D13" s="16">
        <f>ROUND(C13*(1+Summary!$B$47),-2)</f>
        <v>34600</v>
      </c>
      <c r="E13" s="16">
        <f>ROUND(D13*(1+Summary!$B$47),-2)</f>
        <v>35500</v>
      </c>
      <c r="F13" s="16">
        <f>ROUND(E13*(1+Summary!$B$47),-2)</f>
        <v>36400</v>
      </c>
      <c r="G13" s="16">
        <f>ROUND(F13*(1+Summary!$B$47),-2)</f>
        <v>37300</v>
      </c>
      <c r="H13" s="16">
        <f>ROUND(G13*(1+Summary!$B$47),-2)</f>
        <v>38200</v>
      </c>
      <c r="I13" s="16">
        <f>ROUND(H13*(1+Summary!$B$47),-2)</f>
        <v>39200</v>
      </c>
      <c r="J13" s="16">
        <f>ROUND(I13*(1+Summary!$B$47),-2)</f>
        <v>40200</v>
      </c>
      <c r="K13" s="16">
        <f>ROUND(J13*(1+Summary!$B$47),-2)</f>
        <v>41200</v>
      </c>
      <c r="L13" s="16">
        <f>ROUND(K13*(1+Summary!$B$47),-2)</f>
        <v>42200</v>
      </c>
      <c r="M13" s="16">
        <f>ROUND(L13*(1+Summary!$B$47),-2)</f>
        <v>43300</v>
      </c>
      <c r="N13" s="16">
        <f>ROUND(M13*(1+Summary!$B$47),-2)</f>
        <v>44400</v>
      </c>
      <c r="O13" s="16">
        <f>ROUND(N13*(1+Summary!$B$47),-2)</f>
        <v>45500</v>
      </c>
      <c r="P13" s="16">
        <f>ROUND(O13*(1+Summary!$B$47),-2)</f>
        <v>46600</v>
      </c>
    </row>
    <row r="14" spans="1:17" ht="15" customHeight="1" x14ac:dyDescent="0.2">
      <c r="A14" s="1" t="s">
        <v>172</v>
      </c>
      <c r="B14" s="17">
        <f t="shared" ref="B14:P14" si="1">ROUND(B12+B13,-2)</f>
        <v>59400</v>
      </c>
      <c r="C14" s="17">
        <f t="shared" si="1"/>
        <v>60900</v>
      </c>
      <c r="D14" s="17">
        <f t="shared" si="1"/>
        <v>62400</v>
      </c>
      <c r="E14" s="17">
        <f t="shared" si="1"/>
        <v>64000</v>
      </c>
      <c r="F14" s="17">
        <f t="shared" si="1"/>
        <v>65600</v>
      </c>
      <c r="G14" s="17">
        <f t="shared" si="1"/>
        <v>67200</v>
      </c>
      <c r="H14" s="17">
        <f t="shared" si="1"/>
        <v>68800</v>
      </c>
      <c r="I14" s="17">
        <f t="shared" si="1"/>
        <v>70600</v>
      </c>
      <c r="J14" s="17">
        <f t="shared" si="1"/>
        <v>72400</v>
      </c>
      <c r="K14" s="17">
        <f t="shared" si="1"/>
        <v>74200</v>
      </c>
      <c r="L14" s="17">
        <f t="shared" si="1"/>
        <v>76000</v>
      </c>
      <c r="M14" s="17">
        <f t="shared" si="1"/>
        <v>77900</v>
      </c>
      <c r="N14" s="17">
        <f t="shared" si="1"/>
        <v>79900</v>
      </c>
      <c r="O14" s="17">
        <f t="shared" si="1"/>
        <v>81900</v>
      </c>
      <c r="P14" s="17">
        <f t="shared" si="1"/>
        <v>83900</v>
      </c>
    </row>
    <row r="16" spans="1:17" ht="15" customHeight="1" x14ac:dyDescent="0.2">
      <c r="A16" t="s">
        <v>173</v>
      </c>
      <c r="B16" s="19">
        <v>5000</v>
      </c>
      <c r="C16" s="16">
        <f>ROUND(B16*(1+Summary!$B$47),-2)</f>
        <v>5100</v>
      </c>
      <c r="D16" s="16">
        <f>ROUND(C16*(1+Summary!$B$47),-2)</f>
        <v>5200</v>
      </c>
      <c r="E16" s="16">
        <f>ROUND(D16*(1+Summary!$B$47),-2)</f>
        <v>5300</v>
      </c>
      <c r="F16" s="16">
        <f>ROUND(E16*(1+Summary!$B$47),-2)</f>
        <v>5400</v>
      </c>
      <c r="G16" s="16">
        <f>ROUND(F16*(1+Summary!$B$47),-2)</f>
        <v>5500</v>
      </c>
      <c r="H16" s="16">
        <f>ROUND(G16*(1+Summary!$B$47),-2)</f>
        <v>5600</v>
      </c>
      <c r="I16" s="16">
        <f>ROUND(H16*(1+Summary!$B$47),-2)</f>
        <v>5700</v>
      </c>
      <c r="J16" s="16">
        <f>ROUND(I16*(1+Summary!$B$47),-2)</f>
        <v>5800</v>
      </c>
      <c r="K16" s="16">
        <f>ROUND(J16*(1+Summary!$B$47),-2)</f>
        <v>5900</v>
      </c>
      <c r="L16" s="16">
        <f>ROUND(K16*(1+Summary!$B$47),-2)</f>
        <v>6000</v>
      </c>
      <c r="M16" s="16">
        <f>ROUND(L16*(1+Summary!$B$47),-2)</f>
        <v>6200</v>
      </c>
      <c r="N16" s="16">
        <f>ROUND(M16*(1+Summary!$B$47),-2)</f>
        <v>6400</v>
      </c>
      <c r="O16" s="16">
        <f>ROUND(N16*(1+Summary!$B$47),-2)</f>
        <v>6600</v>
      </c>
      <c r="P16" s="16">
        <f>ROUND(O16*(1+Summary!$B$47),-2)</f>
        <v>6800</v>
      </c>
    </row>
    <row r="17" spans="1:17" ht="15" customHeight="1" x14ac:dyDescent="0.2">
      <c r="A17" s="1" t="s">
        <v>174</v>
      </c>
      <c r="B17" s="17">
        <f t="shared" ref="B17:P17" si="2">ROUND(B9+B14+B16,-2)</f>
        <v>280400</v>
      </c>
      <c r="C17" s="17">
        <f t="shared" si="2"/>
        <v>287400</v>
      </c>
      <c r="D17" s="17">
        <f t="shared" si="2"/>
        <v>294600</v>
      </c>
      <c r="E17" s="17">
        <f t="shared" si="2"/>
        <v>301900</v>
      </c>
      <c r="F17" s="17">
        <f t="shared" si="2"/>
        <v>309400</v>
      </c>
      <c r="G17" s="17">
        <f t="shared" si="2"/>
        <v>317100</v>
      </c>
      <c r="H17" s="17">
        <f t="shared" si="2"/>
        <v>325000</v>
      </c>
      <c r="I17" s="17">
        <f t="shared" si="2"/>
        <v>333100</v>
      </c>
      <c r="J17" s="17">
        <f t="shared" si="2"/>
        <v>341400</v>
      </c>
      <c r="K17" s="17">
        <f t="shared" si="2"/>
        <v>349900</v>
      </c>
      <c r="L17" s="17">
        <f t="shared" si="2"/>
        <v>358600</v>
      </c>
      <c r="M17" s="17">
        <f t="shared" si="2"/>
        <v>367600</v>
      </c>
      <c r="N17" s="17">
        <f t="shared" si="2"/>
        <v>376900</v>
      </c>
      <c r="O17" s="17">
        <f t="shared" si="2"/>
        <v>386400</v>
      </c>
      <c r="P17" s="17">
        <f t="shared" si="2"/>
        <v>396100</v>
      </c>
    </row>
    <row r="18" spans="1:17" ht="15" customHeight="1" x14ac:dyDescent="0.2">
      <c r="A18" t="s">
        <v>175</v>
      </c>
      <c r="B18" s="16">
        <f>ROUND(-B17*Summary!$B$46,-2)</f>
        <v>-14000</v>
      </c>
      <c r="C18" s="16">
        <f>ROUND(-C17*Summary!$B$46,-2)</f>
        <v>-14400</v>
      </c>
      <c r="D18" s="16">
        <f>ROUND(-D17*Summary!$B$46,-2)</f>
        <v>-14700</v>
      </c>
      <c r="E18" s="16">
        <f>ROUND(-E17*Summary!$B$46,-2)</f>
        <v>-15100</v>
      </c>
      <c r="F18" s="16">
        <f>ROUND(-F17*Summary!$B$46,-2)</f>
        <v>-15500</v>
      </c>
      <c r="G18" s="16">
        <f>ROUND(-G17*Summary!$B$46,-2)</f>
        <v>-15900</v>
      </c>
      <c r="H18" s="16">
        <f>ROUND(-H17*Summary!$B$46,-2)</f>
        <v>-16300</v>
      </c>
      <c r="I18" s="16">
        <f>ROUND(-I17*Summary!$B$46,-2)</f>
        <v>-16700</v>
      </c>
      <c r="J18" s="16">
        <f>ROUND(-J17*Summary!$B$46,-2)</f>
        <v>-17100</v>
      </c>
      <c r="K18" s="16">
        <f>ROUND(-K17*Summary!$B$46,-2)</f>
        <v>-17500</v>
      </c>
      <c r="L18" s="16">
        <f>ROUND(-L17*Summary!$B$46,-2)</f>
        <v>-17900</v>
      </c>
      <c r="M18" s="16">
        <f>ROUND(-M17*Summary!$B$46,-2)</f>
        <v>-18400</v>
      </c>
      <c r="N18" s="16">
        <f>ROUND(-N17*Summary!$B$46,-2)</f>
        <v>-18800</v>
      </c>
      <c r="O18" s="16">
        <f>ROUND(-O17*Summary!$B$46,-2)</f>
        <v>-19300</v>
      </c>
      <c r="P18" s="16">
        <f>ROUND(-P17*Summary!$B$46,-2)</f>
        <v>-19800</v>
      </c>
    </row>
    <row r="19" spans="1:17" ht="15" customHeight="1" x14ac:dyDescent="0.2">
      <c r="A19" s="1" t="s">
        <v>176</v>
      </c>
      <c r="B19" s="17">
        <f t="shared" ref="B19:P19" si="3">ROUND(B17+B18,-2)</f>
        <v>266400</v>
      </c>
      <c r="C19" s="17">
        <f t="shared" si="3"/>
        <v>273000</v>
      </c>
      <c r="D19" s="17">
        <f t="shared" si="3"/>
        <v>279900</v>
      </c>
      <c r="E19" s="17">
        <f t="shared" si="3"/>
        <v>286800</v>
      </c>
      <c r="F19" s="17">
        <f t="shared" si="3"/>
        <v>293900</v>
      </c>
      <c r="G19" s="17">
        <f t="shared" si="3"/>
        <v>301200</v>
      </c>
      <c r="H19" s="17">
        <f t="shared" si="3"/>
        <v>308700</v>
      </c>
      <c r="I19" s="17">
        <f t="shared" si="3"/>
        <v>316400</v>
      </c>
      <c r="J19" s="17">
        <f t="shared" si="3"/>
        <v>324300</v>
      </c>
      <c r="K19" s="17">
        <f t="shared" si="3"/>
        <v>332400</v>
      </c>
      <c r="L19" s="17">
        <f t="shared" si="3"/>
        <v>340700</v>
      </c>
      <c r="M19" s="17">
        <f t="shared" si="3"/>
        <v>349200</v>
      </c>
      <c r="N19" s="17">
        <f t="shared" si="3"/>
        <v>358100</v>
      </c>
      <c r="O19" s="17">
        <f t="shared" si="3"/>
        <v>367100</v>
      </c>
      <c r="P19" s="17">
        <f t="shared" si="3"/>
        <v>376300</v>
      </c>
    </row>
    <row r="21" spans="1:17" ht="15" customHeight="1" x14ac:dyDescent="0.2">
      <c r="A21" s="37" t="s">
        <v>177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ht="15" customHeight="1" x14ac:dyDescent="0.2">
      <c r="A22" t="s">
        <v>178</v>
      </c>
      <c r="B22" s="16">
        <f t="shared" ref="B22:P22" si="4">ROUND(B19*0.06,-2)</f>
        <v>16000</v>
      </c>
      <c r="C22" s="16">
        <f t="shared" si="4"/>
        <v>16400</v>
      </c>
      <c r="D22" s="16">
        <f t="shared" si="4"/>
        <v>16800</v>
      </c>
      <c r="E22" s="16">
        <f t="shared" si="4"/>
        <v>17200</v>
      </c>
      <c r="F22" s="16">
        <f t="shared" si="4"/>
        <v>17600</v>
      </c>
      <c r="G22" s="16">
        <f t="shared" si="4"/>
        <v>18100</v>
      </c>
      <c r="H22" s="16">
        <f t="shared" si="4"/>
        <v>18500</v>
      </c>
      <c r="I22" s="16">
        <f t="shared" si="4"/>
        <v>19000</v>
      </c>
      <c r="J22" s="16">
        <f t="shared" si="4"/>
        <v>19500</v>
      </c>
      <c r="K22" s="16">
        <f t="shared" si="4"/>
        <v>19900</v>
      </c>
      <c r="L22" s="16">
        <f t="shared" si="4"/>
        <v>20400</v>
      </c>
      <c r="M22" s="16">
        <f t="shared" si="4"/>
        <v>21000</v>
      </c>
      <c r="N22" s="16">
        <f t="shared" si="4"/>
        <v>21500</v>
      </c>
      <c r="O22" s="16">
        <f t="shared" si="4"/>
        <v>22000</v>
      </c>
      <c r="P22" s="16">
        <f t="shared" si="4"/>
        <v>22600</v>
      </c>
    </row>
    <row r="23" spans="1:17" ht="15" customHeight="1" x14ac:dyDescent="0.2">
      <c r="A23" t="s">
        <v>179</v>
      </c>
      <c r="B23" s="19">
        <v>20000</v>
      </c>
      <c r="C23" s="16">
        <f>ROUND(B23*(1+Summary!$B$48),-2)</f>
        <v>20600</v>
      </c>
      <c r="D23" s="16">
        <f>ROUND(C23*(1+Summary!$B$48),-2)</f>
        <v>21200</v>
      </c>
      <c r="E23" s="16">
        <f>ROUND(D23*(1+Summary!$B$48),-2)</f>
        <v>21800</v>
      </c>
      <c r="F23" s="16">
        <f>ROUND(E23*(1+Summary!$B$48),-2)</f>
        <v>22500</v>
      </c>
      <c r="G23" s="16">
        <f>ROUND(F23*(1+Summary!$B$48),-2)</f>
        <v>23200</v>
      </c>
      <c r="H23" s="16">
        <f>ROUND(G23*(1+Summary!$B$48),-2)</f>
        <v>23900</v>
      </c>
      <c r="I23" s="16">
        <f>ROUND(H23*(1+Summary!$B$48),-2)</f>
        <v>24600</v>
      </c>
      <c r="J23" s="16">
        <f>ROUND(I23*(1+Summary!$B$48),-2)</f>
        <v>25300</v>
      </c>
      <c r="K23" s="16">
        <f>ROUND(J23*(1+Summary!$B$48),-2)</f>
        <v>26100</v>
      </c>
      <c r="L23" s="16">
        <f>ROUND(K23*(1+Summary!$B$48),-2)</f>
        <v>26900</v>
      </c>
      <c r="M23" s="16">
        <f>ROUND(L23*(1+Summary!$B$48),-2)</f>
        <v>27700</v>
      </c>
      <c r="N23" s="16">
        <f>ROUND(M23*(1+Summary!$B$48),-2)</f>
        <v>28500</v>
      </c>
      <c r="O23" s="16">
        <f>ROUND(N23*(1+Summary!$B$48),-2)</f>
        <v>29400</v>
      </c>
      <c r="P23" s="16">
        <f>ROUND(O23*(1+Summary!$B$48),-2)</f>
        <v>30300</v>
      </c>
    </row>
    <row r="24" spans="1:17" ht="15" customHeight="1" x14ac:dyDescent="0.2">
      <c r="A24" t="s">
        <v>180</v>
      </c>
      <c r="B24" s="19">
        <v>14000</v>
      </c>
      <c r="C24" s="16">
        <f>ROUND(B24*(1+Summary!$B$48),-2)</f>
        <v>14400</v>
      </c>
      <c r="D24" s="16">
        <f>ROUND(C24*(1+Summary!$B$48),-2)</f>
        <v>14800</v>
      </c>
      <c r="E24" s="16">
        <f>ROUND(D24*(1+Summary!$B$48),-2)</f>
        <v>15200</v>
      </c>
      <c r="F24" s="16">
        <f>ROUND(E24*(1+Summary!$B$48),-2)</f>
        <v>15700</v>
      </c>
      <c r="G24" s="16">
        <f>ROUND(F24*(1+Summary!$B$48),-2)</f>
        <v>16200</v>
      </c>
      <c r="H24" s="16">
        <f>ROUND(G24*(1+Summary!$B$48),-2)</f>
        <v>16700</v>
      </c>
      <c r="I24" s="16">
        <f>ROUND(H24*(1+Summary!$B$48),-2)</f>
        <v>17200</v>
      </c>
      <c r="J24" s="16">
        <f>ROUND(I24*(1+Summary!$B$48),-2)</f>
        <v>17700</v>
      </c>
      <c r="K24" s="16">
        <f>ROUND(J24*(1+Summary!$B$48),-2)</f>
        <v>18200</v>
      </c>
      <c r="L24" s="16">
        <f>ROUND(K24*(1+Summary!$B$48),-2)</f>
        <v>18700</v>
      </c>
      <c r="M24" s="16">
        <f>ROUND(L24*(1+Summary!$B$48),-2)</f>
        <v>19300</v>
      </c>
      <c r="N24" s="16">
        <f>ROUND(M24*(1+Summary!$B$48),-2)</f>
        <v>19900</v>
      </c>
      <c r="O24" s="16">
        <f>ROUND(N24*(1+Summary!$B$48),-2)</f>
        <v>20500</v>
      </c>
      <c r="P24" s="16">
        <f>ROUND(O24*(1+Summary!$B$48),-2)</f>
        <v>21100</v>
      </c>
    </row>
    <row r="25" spans="1:17" ht="15" customHeight="1" x14ac:dyDescent="0.2">
      <c r="A25" t="s">
        <v>181</v>
      </c>
      <c r="B25" s="19">
        <v>28000</v>
      </c>
      <c r="C25" s="16">
        <f>ROUND(B25*(1+Summary!$B$48),-2)</f>
        <v>28800</v>
      </c>
      <c r="D25" s="16">
        <f>ROUND(C25*(1+Summary!$B$48),-2)</f>
        <v>29700</v>
      </c>
      <c r="E25" s="16">
        <f>ROUND(D25*(1+Summary!$B$48),-2)</f>
        <v>30600</v>
      </c>
      <c r="F25" s="16">
        <f>ROUND(E25*(1+Summary!$B$48),-2)</f>
        <v>31500</v>
      </c>
      <c r="G25" s="16">
        <f>ROUND(F25*(1+Summary!$B$48),-2)</f>
        <v>32400</v>
      </c>
      <c r="H25" s="16">
        <f>ROUND(G25*(1+Summary!$B$48),-2)</f>
        <v>33400</v>
      </c>
      <c r="I25" s="16">
        <f>ROUND(H25*(1+Summary!$B$48),-2)</f>
        <v>34400</v>
      </c>
      <c r="J25" s="16">
        <f>ROUND(I25*(1+Summary!$B$48),-2)</f>
        <v>35400</v>
      </c>
      <c r="K25" s="16">
        <f>ROUND(J25*(1+Summary!$B$48),-2)</f>
        <v>36500</v>
      </c>
      <c r="L25" s="16">
        <f>ROUND(K25*(1+Summary!$B$48),-2)</f>
        <v>37600</v>
      </c>
      <c r="M25" s="16">
        <f>ROUND(L25*(1+Summary!$B$48),-2)</f>
        <v>38700</v>
      </c>
      <c r="N25" s="16">
        <f>ROUND(M25*(1+Summary!$B$48),-2)</f>
        <v>39900</v>
      </c>
      <c r="O25" s="16">
        <f>ROUND(N25*(1+Summary!$B$48),-2)</f>
        <v>41100</v>
      </c>
      <c r="P25" s="16">
        <f>ROUND(O25*(1+Summary!$B$48),-2)</f>
        <v>42300</v>
      </c>
    </row>
    <row r="26" spans="1:17" ht="15" customHeight="1" x14ac:dyDescent="0.2">
      <c r="A26" t="s">
        <v>182</v>
      </c>
      <c r="B26" s="19">
        <v>18000</v>
      </c>
      <c r="C26" s="16">
        <f>ROUND(B26*(1+Summary!$B$48),-2)</f>
        <v>18500</v>
      </c>
      <c r="D26" s="16">
        <f>ROUND(C26*(1+Summary!$B$48),-2)</f>
        <v>19100</v>
      </c>
      <c r="E26" s="16">
        <f>ROUND(D26*(1+Summary!$B$48),-2)</f>
        <v>19700</v>
      </c>
      <c r="F26" s="16">
        <f>ROUND(E26*(1+Summary!$B$48),-2)</f>
        <v>20300</v>
      </c>
      <c r="G26" s="16">
        <f>ROUND(F26*(1+Summary!$B$48),-2)</f>
        <v>20900</v>
      </c>
      <c r="H26" s="16">
        <f>ROUND(G26*(1+Summary!$B$48),-2)</f>
        <v>21500</v>
      </c>
      <c r="I26" s="16">
        <f>ROUND(H26*(1+Summary!$B$48),-2)</f>
        <v>22100</v>
      </c>
      <c r="J26" s="16">
        <f>ROUND(I26*(1+Summary!$B$48),-2)</f>
        <v>22800</v>
      </c>
      <c r="K26" s="16">
        <f>ROUND(J26*(1+Summary!$B$48),-2)</f>
        <v>23500</v>
      </c>
      <c r="L26" s="16">
        <f>ROUND(K26*(1+Summary!$B$48),-2)</f>
        <v>24200</v>
      </c>
      <c r="M26" s="16">
        <f>ROUND(L26*(1+Summary!$B$48),-2)</f>
        <v>24900</v>
      </c>
      <c r="N26" s="16">
        <f>ROUND(M26*(1+Summary!$B$48),-2)</f>
        <v>25600</v>
      </c>
      <c r="O26" s="16">
        <f>ROUND(N26*(1+Summary!$B$48),-2)</f>
        <v>26400</v>
      </c>
      <c r="P26" s="16">
        <f>ROUND(O26*(1+Summary!$B$48),-2)</f>
        <v>27200</v>
      </c>
    </row>
    <row r="27" spans="1:17" ht="15" customHeight="1" x14ac:dyDescent="0.2">
      <c r="A27" t="s">
        <v>183</v>
      </c>
      <c r="B27" s="19">
        <v>5000</v>
      </c>
      <c r="C27" s="16">
        <f>ROUND(B27*(1+Summary!$B$48),-2)</f>
        <v>5200</v>
      </c>
      <c r="D27" s="16">
        <f>ROUND(C27*(1+Summary!$B$48),-2)</f>
        <v>5400</v>
      </c>
      <c r="E27" s="16">
        <f>ROUND(D27*(1+Summary!$B$48),-2)</f>
        <v>5600</v>
      </c>
      <c r="F27" s="16">
        <f>ROUND(E27*(1+Summary!$B$48),-2)</f>
        <v>5800</v>
      </c>
      <c r="G27" s="16">
        <f>ROUND(F27*(1+Summary!$B$48),-2)</f>
        <v>6000</v>
      </c>
      <c r="H27" s="16">
        <f>ROUND(G27*(1+Summary!$B$48),-2)</f>
        <v>6200</v>
      </c>
      <c r="I27" s="16">
        <f>ROUND(H27*(1+Summary!$B$48),-2)</f>
        <v>6400</v>
      </c>
      <c r="J27" s="16">
        <f>ROUND(I27*(1+Summary!$B$48),-2)</f>
        <v>6600</v>
      </c>
      <c r="K27" s="16">
        <f>ROUND(J27*(1+Summary!$B$48),-2)</f>
        <v>6800</v>
      </c>
      <c r="L27" s="16">
        <f>ROUND(K27*(1+Summary!$B$48),-2)</f>
        <v>7000</v>
      </c>
      <c r="M27" s="16">
        <f>ROUND(L27*(1+Summary!$B$48),-2)</f>
        <v>7200</v>
      </c>
      <c r="N27" s="16">
        <f>ROUND(M27*(1+Summary!$B$48),-2)</f>
        <v>7400</v>
      </c>
      <c r="O27" s="16">
        <f>ROUND(N27*(1+Summary!$B$48),-2)</f>
        <v>7600</v>
      </c>
      <c r="P27" s="16">
        <f>ROUND(O27*(1+Summary!$B$48),-2)</f>
        <v>7800</v>
      </c>
    </row>
    <row r="28" spans="1:17" ht="15" customHeight="1" x14ac:dyDescent="0.2">
      <c r="A28" t="s">
        <v>184</v>
      </c>
      <c r="B28" s="19">
        <v>9000</v>
      </c>
      <c r="C28" s="16">
        <f>ROUND(B28*(1+Summary!$B$48),-2)</f>
        <v>9300</v>
      </c>
      <c r="D28" s="16">
        <f>ROUND(C28*(1+Summary!$B$48),-2)</f>
        <v>9600</v>
      </c>
      <c r="E28" s="16">
        <f>ROUND(D28*(1+Summary!$B$48),-2)</f>
        <v>9900</v>
      </c>
      <c r="F28" s="16">
        <f>ROUND(E28*(1+Summary!$B$48),-2)</f>
        <v>10200</v>
      </c>
      <c r="G28" s="16">
        <f>ROUND(F28*(1+Summary!$B$48),-2)</f>
        <v>10500</v>
      </c>
      <c r="H28" s="16">
        <f>ROUND(G28*(1+Summary!$B$48),-2)</f>
        <v>10800</v>
      </c>
      <c r="I28" s="16">
        <f>ROUND(H28*(1+Summary!$B$48),-2)</f>
        <v>11100</v>
      </c>
      <c r="J28" s="16">
        <f>ROUND(I28*(1+Summary!$B$48),-2)</f>
        <v>11400</v>
      </c>
      <c r="K28" s="16">
        <f>ROUND(J28*(1+Summary!$B$48),-2)</f>
        <v>11700</v>
      </c>
      <c r="L28" s="16">
        <f>ROUND(K28*(1+Summary!$B$48),-2)</f>
        <v>12100</v>
      </c>
      <c r="M28" s="16">
        <f>ROUND(L28*(1+Summary!$B$48),-2)</f>
        <v>12500</v>
      </c>
      <c r="N28" s="16">
        <f>ROUND(M28*(1+Summary!$B$48),-2)</f>
        <v>12900</v>
      </c>
      <c r="O28" s="16">
        <f>ROUND(N28*(1+Summary!$B$48),-2)</f>
        <v>13300</v>
      </c>
      <c r="P28" s="16">
        <f>ROUND(O28*(1+Summary!$B$48),-2)</f>
        <v>13700</v>
      </c>
    </row>
    <row r="29" spans="1:17" ht="15" customHeight="1" x14ac:dyDescent="0.2">
      <c r="A29" t="s">
        <v>185</v>
      </c>
      <c r="B29" s="15">
        <f>ROUND(Summary!B49*Summary!B7,-2)</f>
        <v>3600</v>
      </c>
      <c r="C29" s="15">
        <f>ROUND(Summary!B49*Summary!B7,-2)</f>
        <v>3600</v>
      </c>
      <c r="D29" s="15">
        <f>ROUND(Summary!B49*Summary!B7,-2)</f>
        <v>3600</v>
      </c>
      <c r="E29" s="15">
        <f>ROUND(Summary!B49*Summary!B7,-2)</f>
        <v>3600</v>
      </c>
      <c r="F29" s="15">
        <f>ROUND(Summary!B49*Summary!B7,-2)</f>
        <v>3600</v>
      </c>
      <c r="G29" s="15">
        <f>ROUND(Summary!B49*Summary!B7,-2)</f>
        <v>3600</v>
      </c>
      <c r="H29" s="15">
        <f>ROUND(Summary!B49*Summary!B7,-2)</f>
        <v>3600</v>
      </c>
      <c r="I29" s="15">
        <f>ROUND(Summary!B49*Summary!B7,-2)</f>
        <v>3600</v>
      </c>
      <c r="J29" s="15">
        <f>ROUND(Summary!B49*Summary!B7,-2)</f>
        <v>3600</v>
      </c>
      <c r="K29" s="15">
        <f>ROUND(Summary!B49*Summary!B7,-2)</f>
        <v>3600</v>
      </c>
      <c r="L29" s="15">
        <f>ROUND(Summary!B49*Summary!B7,-2)</f>
        <v>3600</v>
      </c>
      <c r="M29" s="15">
        <f>ROUND(Summary!B49*Summary!B7,-2)</f>
        <v>3600</v>
      </c>
      <c r="N29" s="15">
        <f>ROUND(Summary!B49*Summary!B7,-2)</f>
        <v>3600</v>
      </c>
      <c r="O29" s="15">
        <f>ROUND(Summary!B49*Summary!B7,-2)</f>
        <v>3600</v>
      </c>
      <c r="P29" s="15">
        <f>ROUND(Summary!B49*Summary!B7,-2)</f>
        <v>3600</v>
      </c>
    </row>
    <row r="30" spans="1:17" ht="15" customHeight="1" x14ac:dyDescent="0.2">
      <c r="A30" s="1" t="s">
        <v>186</v>
      </c>
      <c r="B30" s="17">
        <f t="shared" ref="B30:P30" si="5">ROUND(SUM(B22:B29),-2)</f>
        <v>113600</v>
      </c>
      <c r="C30" s="17">
        <f t="shared" si="5"/>
        <v>116800</v>
      </c>
      <c r="D30" s="17">
        <f t="shared" si="5"/>
        <v>120200</v>
      </c>
      <c r="E30" s="17">
        <f t="shared" si="5"/>
        <v>123600</v>
      </c>
      <c r="F30" s="17">
        <f t="shared" si="5"/>
        <v>127200</v>
      </c>
      <c r="G30" s="17">
        <f t="shared" si="5"/>
        <v>130900</v>
      </c>
      <c r="H30" s="17">
        <f t="shared" si="5"/>
        <v>134600</v>
      </c>
      <c r="I30" s="17">
        <f t="shared" si="5"/>
        <v>138400</v>
      </c>
      <c r="J30" s="17">
        <f t="shared" si="5"/>
        <v>142300</v>
      </c>
      <c r="K30" s="17">
        <f t="shared" si="5"/>
        <v>146300</v>
      </c>
      <c r="L30" s="17">
        <f t="shared" si="5"/>
        <v>150500</v>
      </c>
      <c r="M30" s="17">
        <f t="shared" si="5"/>
        <v>154900</v>
      </c>
      <c r="N30" s="17">
        <f t="shared" si="5"/>
        <v>159300</v>
      </c>
      <c r="O30" s="17">
        <f t="shared" si="5"/>
        <v>163900</v>
      </c>
      <c r="P30" s="17">
        <f t="shared" si="5"/>
        <v>168600</v>
      </c>
    </row>
    <row r="32" spans="1:17" ht="15" customHeight="1" x14ac:dyDescent="0.2">
      <c r="A32" s="20" t="s">
        <v>187</v>
      </c>
      <c r="B32" s="21">
        <f t="shared" ref="B32:P32" si="6">ROUND(B19-B30,-2)</f>
        <v>152800</v>
      </c>
      <c r="C32" s="21">
        <f t="shared" si="6"/>
        <v>156200</v>
      </c>
      <c r="D32" s="21">
        <f t="shared" si="6"/>
        <v>159700</v>
      </c>
      <c r="E32" s="21">
        <f t="shared" si="6"/>
        <v>163200</v>
      </c>
      <c r="F32" s="21">
        <f t="shared" si="6"/>
        <v>166700</v>
      </c>
      <c r="G32" s="21">
        <f t="shared" si="6"/>
        <v>170300</v>
      </c>
      <c r="H32" s="21">
        <f t="shared" si="6"/>
        <v>174100</v>
      </c>
      <c r="I32" s="21">
        <f t="shared" si="6"/>
        <v>178000</v>
      </c>
      <c r="J32" s="21">
        <f t="shared" si="6"/>
        <v>182000</v>
      </c>
      <c r="K32" s="21">
        <f t="shared" si="6"/>
        <v>186100</v>
      </c>
      <c r="L32" s="21">
        <f t="shared" si="6"/>
        <v>190200</v>
      </c>
      <c r="M32" s="21">
        <f t="shared" si="6"/>
        <v>194300</v>
      </c>
      <c r="N32" s="21">
        <f t="shared" si="6"/>
        <v>198800</v>
      </c>
      <c r="O32" s="21">
        <f t="shared" si="6"/>
        <v>203200</v>
      </c>
      <c r="P32" s="21">
        <f t="shared" si="6"/>
        <v>207700</v>
      </c>
    </row>
    <row r="34" spans="1:17" ht="15" customHeight="1" x14ac:dyDescent="0.2">
      <c r="A34" s="37" t="s">
        <v>188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ht="15" customHeight="1" x14ac:dyDescent="0.2">
      <c r="A35" t="s">
        <v>189</v>
      </c>
      <c r="B35" s="15">
        <f>ROUND(-PMT('LIHTC Calculations'!$B$16,'LIHTC Calculations'!$B$17,'LIHTC Calculations'!$B$18),-2)</f>
        <v>238500</v>
      </c>
      <c r="C35" s="15">
        <f>ROUND(-PMT('LIHTC Calculations'!$B$16,'LIHTC Calculations'!$B$17,'LIHTC Calculations'!$B$18),-2)</f>
        <v>238500</v>
      </c>
      <c r="D35" s="15">
        <f>ROUND(-PMT('LIHTC Calculations'!$B$16,'LIHTC Calculations'!$B$17,'LIHTC Calculations'!$B$18),-2)</f>
        <v>238500</v>
      </c>
      <c r="E35" s="15">
        <f>ROUND(-PMT('LIHTC Calculations'!$B$16,'LIHTC Calculations'!$B$17,'LIHTC Calculations'!$B$18),-2)</f>
        <v>238500</v>
      </c>
      <c r="F35" s="15">
        <f>ROUND(-PMT('LIHTC Calculations'!$B$16,'LIHTC Calculations'!$B$17,'LIHTC Calculations'!$B$18),-2)</f>
        <v>238500</v>
      </c>
      <c r="G35" s="15">
        <f>ROUND(-PMT('LIHTC Calculations'!$B$16,'LIHTC Calculations'!$B$17,'LIHTC Calculations'!$B$18),-2)</f>
        <v>238500</v>
      </c>
      <c r="H35" s="15">
        <f>ROUND(-PMT('LIHTC Calculations'!$B$16,'LIHTC Calculations'!$B$17,'LIHTC Calculations'!$B$18),-2)</f>
        <v>238500</v>
      </c>
      <c r="I35" s="15">
        <f>ROUND(-PMT('LIHTC Calculations'!$B$16,'LIHTC Calculations'!$B$17,'LIHTC Calculations'!$B$18),-2)</f>
        <v>238500</v>
      </c>
      <c r="J35" s="15">
        <f>ROUND(-PMT('LIHTC Calculations'!$B$16,'LIHTC Calculations'!$B$17,'LIHTC Calculations'!$B$18),-2)</f>
        <v>238500</v>
      </c>
      <c r="K35" s="15">
        <f>ROUND(-PMT('LIHTC Calculations'!$B$16,'LIHTC Calculations'!$B$17,'LIHTC Calculations'!$B$18),-2)</f>
        <v>238500</v>
      </c>
      <c r="L35" s="15">
        <f>ROUND(-PMT('LIHTC Calculations'!$B$16,'LIHTC Calculations'!$B$17,'LIHTC Calculations'!$B$18),-2)</f>
        <v>238500</v>
      </c>
      <c r="M35" s="15">
        <f>ROUND(-PMT('LIHTC Calculations'!$B$16,'LIHTC Calculations'!$B$17,'LIHTC Calculations'!$B$18),-2)</f>
        <v>238500</v>
      </c>
      <c r="N35" s="15">
        <f>ROUND(-PMT('LIHTC Calculations'!$B$16,'LIHTC Calculations'!$B$17,'LIHTC Calculations'!$B$18),-2)</f>
        <v>238500</v>
      </c>
      <c r="O35" s="15">
        <f>ROUND(-PMT('LIHTC Calculations'!$B$16,'LIHTC Calculations'!$B$17,'LIHTC Calculations'!$B$18),-2)</f>
        <v>238500</v>
      </c>
      <c r="P35" s="15">
        <f>ROUND(-PMT('LIHTC Calculations'!$B$16,'LIHTC Calculations'!$B$17,'LIHTC Calculations'!$B$18),-2)</f>
        <v>238500</v>
      </c>
    </row>
    <row r="37" spans="1:17" ht="15" customHeight="1" x14ac:dyDescent="0.2">
      <c r="A37" s="20" t="s">
        <v>190</v>
      </c>
      <c r="B37" s="21">
        <f t="shared" ref="B37:P37" si="7">ROUND(B32-B35,-2)</f>
        <v>-85700</v>
      </c>
      <c r="C37" s="21">
        <f t="shared" si="7"/>
        <v>-82300</v>
      </c>
      <c r="D37" s="21">
        <f t="shared" si="7"/>
        <v>-78800</v>
      </c>
      <c r="E37" s="21">
        <f t="shared" si="7"/>
        <v>-75300</v>
      </c>
      <c r="F37" s="21">
        <f t="shared" si="7"/>
        <v>-71800</v>
      </c>
      <c r="G37" s="21">
        <f t="shared" si="7"/>
        <v>-68200</v>
      </c>
      <c r="H37" s="21">
        <f t="shared" si="7"/>
        <v>-64400</v>
      </c>
      <c r="I37" s="21">
        <f t="shared" si="7"/>
        <v>-60500</v>
      </c>
      <c r="J37" s="21">
        <f t="shared" si="7"/>
        <v>-56500</v>
      </c>
      <c r="K37" s="21">
        <f t="shared" si="7"/>
        <v>-52400</v>
      </c>
      <c r="L37" s="21">
        <f t="shared" si="7"/>
        <v>-48300</v>
      </c>
      <c r="M37" s="21">
        <f t="shared" si="7"/>
        <v>-44200</v>
      </c>
      <c r="N37" s="21">
        <f t="shared" si="7"/>
        <v>-39700</v>
      </c>
      <c r="O37" s="21">
        <f t="shared" si="7"/>
        <v>-35300</v>
      </c>
      <c r="P37" s="21">
        <f t="shared" si="7"/>
        <v>-30800</v>
      </c>
    </row>
    <row r="39" spans="1:17" ht="15" customHeight="1" x14ac:dyDescent="0.2">
      <c r="A39" s="36" t="s">
        <v>191</v>
      </c>
      <c r="B39" s="36"/>
    </row>
    <row r="40" spans="1:17" ht="15" customHeight="1" x14ac:dyDescent="0.2">
      <c r="A40" t="s">
        <v>192</v>
      </c>
      <c r="B40" s="27">
        <f>IF(B35=0,0,B32/B35)</f>
        <v>0.64067085953878411</v>
      </c>
    </row>
    <row r="41" spans="1:17" ht="15" customHeight="1" x14ac:dyDescent="0.2">
      <c r="A41" t="s">
        <v>193</v>
      </c>
      <c r="B41" s="23">
        <f>IF(B19=0,0,B30/B19)</f>
        <v>0.42642642642642642</v>
      </c>
    </row>
  </sheetData>
  <mergeCells count="7">
    <mergeCell ref="A34:Q34"/>
    <mergeCell ref="A39:B39"/>
    <mergeCell ref="A1:Q1"/>
    <mergeCell ref="A2:Q2"/>
    <mergeCell ref="A6:Q6"/>
    <mergeCell ref="A11:Q11"/>
    <mergeCell ref="A21:Q2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1"/>
  <sheetViews>
    <sheetView zoomScaleNormal="100" workbookViewId="0"/>
  </sheetViews>
  <sheetFormatPr baseColWidth="10" defaultColWidth="8.6640625" defaultRowHeight="15" x14ac:dyDescent="0.2"/>
  <cols>
    <col min="1" max="1" width="45" customWidth="1"/>
    <col min="2" max="2" width="18" customWidth="1"/>
  </cols>
  <sheetData>
    <row r="1" spans="1:2" ht="17.25" customHeight="1" x14ac:dyDescent="0.2">
      <c r="A1" s="35" t="s">
        <v>194</v>
      </c>
      <c r="B1" s="35"/>
    </row>
    <row r="3" spans="1:2" ht="15" customHeight="1" x14ac:dyDescent="0.2">
      <c r="A3" s="37" t="s">
        <v>195</v>
      </c>
      <c r="B3" s="37"/>
    </row>
    <row r="4" spans="1:2" ht="15" customHeight="1" x14ac:dyDescent="0.2">
      <c r="A4" t="s">
        <v>196</v>
      </c>
      <c r="B4" s="15">
        <f>'Development Budget'!B34</f>
        <v>5097400</v>
      </c>
    </row>
    <row r="5" spans="1:2" ht="15" customHeight="1" x14ac:dyDescent="0.2">
      <c r="A5" t="s">
        <v>197</v>
      </c>
      <c r="B5" s="16">
        <f>ROUND(B4*0.15,-2)</f>
        <v>764600</v>
      </c>
    </row>
    <row r="6" spans="1:2" ht="15" customHeight="1" x14ac:dyDescent="0.2">
      <c r="A6" s="1" t="s">
        <v>198</v>
      </c>
      <c r="B6" s="18">
        <f>ROUND(B4-B5,-2)</f>
        <v>4332800</v>
      </c>
    </row>
    <row r="7" spans="1:2" ht="15" customHeight="1" x14ac:dyDescent="0.2">
      <c r="A7" t="s">
        <v>199</v>
      </c>
      <c r="B7" s="12">
        <v>1</v>
      </c>
    </row>
    <row r="8" spans="1:2" ht="15" customHeight="1" x14ac:dyDescent="0.2">
      <c r="A8" s="1" t="s">
        <v>200</v>
      </c>
      <c r="B8" s="18">
        <f>ROUND(B6*B7,-2)</f>
        <v>4332800</v>
      </c>
    </row>
    <row r="10" spans="1:2" ht="15" customHeight="1" x14ac:dyDescent="0.2">
      <c r="A10" s="37" t="s">
        <v>201</v>
      </c>
      <c r="B10" s="37"/>
    </row>
    <row r="11" spans="1:2" ht="15" customHeight="1" x14ac:dyDescent="0.2">
      <c r="A11" t="s">
        <v>202</v>
      </c>
      <c r="B11" s="28">
        <f>Summary!B40</f>
        <v>0.04</v>
      </c>
    </row>
    <row r="12" spans="1:2" ht="15" customHeight="1" x14ac:dyDescent="0.2">
      <c r="A12" s="1" t="s">
        <v>203</v>
      </c>
      <c r="B12" s="18">
        <f>ROUND(B8*B11,-2)</f>
        <v>173300</v>
      </c>
    </row>
    <row r="13" spans="1:2" ht="15" customHeight="1" x14ac:dyDescent="0.2">
      <c r="A13" t="s">
        <v>204</v>
      </c>
      <c r="B13" s="16">
        <f>ROUND(B12*10,-2)</f>
        <v>1733000</v>
      </c>
    </row>
    <row r="15" spans="1:2" ht="15" customHeight="1" x14ac:dyDescent="0.2">
      <c r="A15" s="37" t="s">
        <v>89</v>
      </c>
      <c r="B15" s="37"/>
    </row>
    <row r="16" spans="1:2" ht="15" customHeight="1" x14ac:dyDescent="0.2">
      <c r="A16" t="s">
        <v>205</v>
      </c>
      <c r="B16" s="28">
        <f>Summary!B41</f>
        <v>5.5E-2</v>
      </c>
    </row>
    <row r="17" spans="1:2" ht="15" customHeight="1" x14ac:dyDescent="0.2">
      <c r="A17" t="s">
        <v>206</v>
      </c>
      <c r="B17" s="29">
        <f>Summary!B42</f>
        <v>30</v>
      </c>
    </row>
    <row r="18" spans="1:2" ht="15" customHeight="1" x14ac:dyDescent="0.2">
      <c r="A18" t="s">
        <v>207</v>
      </c>
      <c r="B18" s="16">
        <f>ROUND(B6*0.8,-2)</f>
        <v>3466200</v>
      </c>
    </row>
    <row r="20" spans="1:2" ht="15" customHeight="1" x14ac:dyDescent="0.2">
      <c r="A20" t="s">
        <v>208</v>
      </c>
      <c r="B20" s="30">
        <f>Summary!B39</f>
        <v>0.92</v>
      </c>
    </row>
    <row r="21" spans="1:2" ht="15" customHeight="1" x14ac:dyDescent="0.2">
      <c r="A21" s="1" t="s">
        <v>209</v>
      </c>
      <c r="B21" s="18">
        <f>ROUND(B13*B20,-2)</f>
        <v>1594400</v>
      </c>
    </row>
  </sheetData>
  <mergeCells count="4">
    <mergeCell ref="A1:B1"/>
    <mergeCell ref="A3:B3"/>
    <mergeCell ref="A10:B10"/>
    <mergeCell ref="A15:B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Executive Summary</vt:lpstr>
      <vt:lpstr>Summary</vt:lpstr>
      <vt:lpstr>Development Budget</vt:lpstr>
      <vt:lpstr>Sources &amp; Uses</vt:lpstr>
      <vt:lpstr>Operating Pro Forma</vt:lpstr>
      <vt:lpstr>LIHTC 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 Nelson</cp:lastModifiedBy>
  <cp:revision>0</cp:revision>
  <dcterms:created xsi:type="dcterms:W3CDTF">2025-11-17T22:00:02Z</dcterms:created>
  <dcterms:modified xsi:type="dcterms:W3CDTF">2025-11-18T02:23:20Z</dcterms:modified>
  <dc:language>en-US</dc:language>
</cp:coreProperties>
</file>